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drawings/drawing28.xml" ContentType="application/vnd.openxmlformats-officedocument.drawing+xml"/>
  <Override PartName="/xl/charts/chart29.xml" ContentType="application/vnd.openxmlformats-officedocument.drawingml.chart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drawings/drawing30.xml" ContentType="application/vnd.openxmlformats-officedocument.drawing+xml"/>
  <Override PartName="/xl/charts/chart31.xml" ContentType="application/vnd.openxmlformats-officedocument.drawingml.chart+xml"/>
  <Override PartName="/xl/drawings/drawing31.xml" ContentType="application/vnd.openxmlformats-officedocument.drawing+xml"/>
  <Override PartName="/xl/charts/chart32.xml" ContentType="application/vnd.openxmlformats-officedocument.drawingml.chart+xml"/>
  <Override PartName="/xl/drawings/drawing32.xml" ContentType="application/vnd.openxmlformats-officedocument.drawing+xml"/>
  <Override PartName="/xl/charts/chart33.xml" ContentType="application/vnd.openxmlformats-officedocument.drawingml.chart+xml"/>
  <Override PartName="/xl/drawings/drawing33.xml" ContentType="application/vnd.openxmlformats-officedocument.drawing+xml"/>
  <Override PartName="/xl/charts/chart34.xml" ContentType="application/vnd.openxmlformats-officedocument.drawingml.chart+xml"/>
  <Override PartName="/xl/drawings/drawing34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 Reports\2020\"/>
    </mc:Choice>
  </mc:AlternateContent>
  <xr:revisionPtr revIDLastSave="0" documentId="13_ncr:1_{47714BF0-BBD5-4E68-9E05-01A3F590F72A}" xr6:coauthVersionLast="45" xr6:coauthVersionMax="45" xr10:uidLastSave="{00000000-0000-0000-0000-000000000000}"/>
  <bookViews>
    <workbookView xWindow="-108" yWindow="-108" windowWidth="23256" windowHeight="12576" activeTab="6" xr2:uid="{00000000-000D-0000-FFFF-FFFF00000000}"/>
  </bookViews>
  <sheets>
    <sheet name="Cumulative" sheetId="1" r:id="rId1"/>
    <sheet name="2020" sheetId="34" r:id="rId2"/>
    <sheet name="2019" sheetId="33" r:id="rId3"/>
    <sheet name="2018" sheetId="32" r:id="rId4"/>
    <sheet name="2017" sheetId="31" r:id="rId5"/>
    <sheet name="2016" sheetId="30" r:id="rId6"/>
    <sheet name="2015" sheetId="29" r:id="rId7"/>
    <sheet name="2014" sheetId="28" r:id="rId8"/>
    <sheet name="2013" sheetId="27" r:id="rId9"/>
    <sheet name="2012" sheetId="26" r:id="rId10"/>
    <sheet name="2011" sheetId="25" r:id="rId11"/>
    <sheet name="2010" sheetId="2" r:id="rId12"/>
    <sheet name="2009" sheetId="3" r:id="rId13"/>
    <sheet name="2008" sheetId="4" r:id="rId14"/>
    <sheet name="2007" sheetId="5" r:id="rId15"/>
    <sheet name="2006" sheetId="6" r:id="rId16"/>
    <sheet name="2005" sheetId="7" r:id="rId17"/>
    <sheet name="2004" sheetId="8" r:id="rId18"/>
    <sheet name="2003" sheetId="9" r:id="rId19"/>
    <sheet name="2002" sheetId="10" r:id="rId20"/>
    <sheet name="2001" sheetId="11" r:id="rId21"/>
    <sheet name="2000" sheetId="12" r:id="rId22"/>
    <sheet name="1999" sheetId="13" r:id="rId23"/>
    <sheet name="1998" sheetId="14" r:id="rId24"/>
    <sheet name="1997" sheetId="15" r:id="rId25"/>
    <sheet name="1996" sheetId="16" r:id="rId26"/>
    <sheet name="1995" sheetId="17" r:id="rId27"/>
    <sheet name="1994" sheetId="18" r:id="rId28"/>
    <sheet name="1993" sheetId="19" r:id="rId29"/>
    <sheet name="1992" sheetId="20" r:id="rId30"/>
    <sheet name="1991" sheetId="21" r:id="rId31"/>
    <sheet name="1990" sheetId="22" r:id="rId32"/>
    <sheet name="1989" sheetId="23" r:id="rId33"/>
    <sheet name="1988" sheetId="24" r:id="rId34"/>
  </sheets>
  <externalReferences>
    <externalReference r:id="rId35"/>
  </externalReferences>
  <definedNames>
    <definedName name="_xlnm.Print_Area" localSheetId="7">'2014'!$A$1:$O$57</definedName>
    <definedName name="_xlnm.Print_Area" localSheetId="6">'2015'!$A$1:$O$30</definedName>
    <definedName name="_xlnm.Print_Area" localSheetId="5">'2016'!$A$1:$O$17</definedName>
    <definedName name="_xlnm.Print_Area" localSheetId="4">'2017'!$A$1:$O$51</definedName>
    <definedName name="_xlnm.Print_Area" localSheetId="1">'2020'!$A$1:$O$45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J18" i="34" l="1"/>
  <c r="G18" i="34"/>
  <c r="F18" i="34"/>
  <c r="E18" i="34"/>
  <c r="F3" i="1" s="1"/>
  <c r="B4" i="34"/>
  <c r="C4" i="34"/>
  <c r="B7" i="34"/>
  <c r="C7" i="34"/>
  <c r="B5" i="34"/>
  <c r="C5" i="34"/>
  <c r="B17" i="34"/>
  <c r="C17" i="34"/>
  <c r="B16" i="34"/>
  <c r="C16" i="34"/>
  <c r="B14" i="34"/>
  <c r="C14" i="34"/>
  <c r="B13" i="34"/>
  <c r="C13" i="34"/>
  <c r="C12" i="34"/>
  <c r="B12" i="34"/>
  <c r="B10" i="34"/>
  <c r="C10" i="34"/>
  <c r="B9" i="34"/>
  <c r="C9" i="34"/>
  <c r="B8" i="34"/>
  <c r="C8" i="34"/>
  <c r="B11" i="34"/>
  <c r="C11" i="34"/>
  <c r="H18" i="34" l="1"/>
  <c r="I3" i="1" s="1"/>
  <c r="C18" i="34"/>
  <c r="C3" i="1" s="1"/>
  <c r="B18" i="34"/>
  <c r="B3" i="1" s="1"/>
  <c r="O18" i="34"/>
  <c r="N18" i="34"/>
  <c r="M18" i="34"/>
  <c r="N3" i="1" s="1"/>
  <c r="L18" i="34"/>
  <c r="M3" i="1" s="1"/>
  <c r="K18" i="34"/>
  <c r="I18" i="34"/>
  <c r="D3" i="34"/>
  <c r="D18" i="34" s="1"/>
  <c r="E3" i="1" s="1"/>
  <c r="B19" i="34" l="1"/>
  <c r="B14" i="33"/>
  <c r="B13" i="33"/>
  <c r="C14" i="33"/>
  <c r="C13" i="33"/>
  <c r="K18" i="33"/>
  <c r="B5" i="33"/>
  <c r="B6" i="33"/>
  <c r="B7" i="33"/>
  <c r="B8" i="33"/>
  <c r="B9" i="33"/>
  <c r="B10" i="33"/>
  <c r="B11" i="33"/>
  <c r="B12" i="33"/>
  <c r="B4" i="33"/>
  <c r="C5" i="33"/>
  <c r="C6" i="33"/>
  <c r="C7" i="33"/>
  <c r="C8" i="33"/>
  <c r="C9" i="33"/>
  <c r="C10" i="33"/>
  <c r="C11" i="33"/>
  <c r="C12" i="33"/>
  <c r="C4" i="33"/>
  <c r="O18" i="33" l="1"/>
  <c r="N18" i="33"/>
  <c r="M18" i="33"/>
  <c r="L18" i="33"/>
  <c r="J18" i="33"/>
  <c r="I18" i="33"/>
  <c r="H18" i="33"/>
  <c r="G18" i="33"/>
  <c r="F18" i="33"/>
  <c r="E18" i="33"/>
  <c r="C18" i="33"/>
  <c r="B18" i="33"/>
  <c r="D3" i="33"/>
  <c r="D18" i="33" s="1"/>
  <c r="B19" i="33" l="1"/>
  <c r="D3" i="32"/>
  <c r="O17" i="32" l="1"/>
  <c r="N17" i="32"/>
  <c r="M17" i="32"/>
  <c r="K17" i="32"/>
  <c r="J17" i="32"/>
  <c r="H17" i="32"/>
  <c r="G17" i="32"/>
  <c r="F17" i="32"/>
  <c r="E17" i="32"/>
  <c r="D17" i="32"/>
  <c r="C17" i="32"/>
  <c r="B17" i="32"/>
  <c r="I17" i="32"/>
  <c r="L17" i="32"/>
  <c r="B18" i="32" l="1"/>
  <c r="D3" i="30"/>
  <c r="N20" i="31" l="1"/>
  <c r="O20" i="31"/>
  <c r="M20" i="31"/>
  <c r="C20" i="31"/>
  <c r="B20" i="31"/>
  <c r="E20" i="31"/>
  <c r="H20" i="31"/>
  <c r="D20" i="31"/>
  <c r="L14" i="31"/>
  <c r="L20" i="31" s="1"/>
  <c r="I17" i="31"/>
  <c r="I20" i="31" s="1"/>
  <c r="K20" i="31"/>
  <c r="J20" i="31"/>
  <c r="G20" i="31"/>
  <c r="F20" i="31"/>
  <c r="M13" i="30"/>
  <c r="B21" i="31" l="1"/>
  <c r="O13" i="30"/>
  <c r="N13" i="30"/>
  <c r="L13" i="30"/>
  <c r="K13" i="30"/>
  <c r="J13" i="30"/>
  <c r="I13" i="30"/>
  <c r="H13" i="30"/>
  <c r="G13" i="30"/>
  <c r="F13" i="30"/>
  <c r="D13" i="30"/>
  <c r="C13" i="30"/>
  <c r="B13" i="30"/>
  <c r="E13" i="30"/>
  <c r="B14" i="30" l="1"/>
  <c r="B19" i="29" l="1"/>
  <c r="D19" i="29"/>
  <c r="C19" i="29"/>
  <c r="O10" i="29"/>
  <c r="N10" i="29"/>
  <c r="M10" i="29"/>
  <c r="L10" i="29"/>
  <c r="J10" i="29"/>
  <c r="G10" i="29"/>
  <c r="F10" i="29"/>
  <c r="C10" i="29"/>
  <c r="B10" i="29"/>
  <c r="E7" i="29"/>
  <c r="E6" i="29"/>
  <c r="I10" i="29"/>
  <c r="D3" i="29"/>
  <c r="D10" i="29" s="1"/>
  <c r="K10" i="29" l="1"/>
  <c r="H10" i="29"/>
  <c r="E10" i="29"/>
  <c r="B11" i="29" l="1"/>
  <c r="N27" i="28"/>
  <c r="O27" i="28"/>
  <c r="F27" i="28"/>
  <c r="G27" i="28"/>
  <c r="J27" i="28"/>
  <c r="L27" i="28"/>
  <c r="M27" i="28"/>
  <c r="B27" i="28"/>
  <c r="C27" i="28"/>
  <c r="H17" i="28"/>
  <c r="H26" i="28" l="1"/>
  <c r="H13" i="28"/>
  <c r="I14" i="28"/>
  <c r="I27" i="28" s="1"/>
  <c r="H16" i="28"/>
  <c r="H10" i="28"/>
  <c r="K4" i="28"/>
  <c r="K25" i="28" l="1"/>
  <c r="K27" i="28" s="1"/>
  <c r="E24" i="28"/>
  <c r="H22" i="28"/>
  <c r="E21" i="28"/>
  <c r="E20" i="28"/>
  <c r="H18" i="28"/>
  <c r="E15" i="28"/>
  <c r="H27" i="28" l="1"/>
  <c r="E27" i="28"/>
  <c r="D39" i="28"/>
  <c r="C39" i="28"/>
  <c r="B39" i="28"/>
  <c r="D3" i="28"/>
  <c r="D27" i="28" s="1"/>
  <c r="B28" i="28" l="1"/>
  <c r="E28" i="27"/>
  <c r="C28" i="27"/>
  <c r="B28" i="27"/>
  <c r="M17" i="27"/>
  <c r="L17" i="27"/>
  <c r="K17" i="27"/>
  <c r="J17" i="27"/>
  <c r="I17" i="27"/>
  <c r="H17" i="27"/>
  <c r="G17" i="27"/>
  <c r="F17" i="27"/>
  <c r="C17" i="27"/>
  <c r="B17" i="27"/>
  <c r="N17" i="27"/>
  <c r="O17" i="27"/>
  <c r="P17" i="27"/>
  <c r="E3" i="27" l="1"/>
  <c r="E17" i="27" l="1"/>
  <c r="B18" i="27" s="1"/>
  <c r="M16" i="26"/>
  <c r="L16" i="26"/>
  <c r="E3" i="26"/>
  <c r="B16" i="26" l="1"/>
  <c r="C16" i="26" l="1"/>
  <c r="B17" i="26" l="1"/>
  <c r="G16" i="26"/>
  <c r="N16" i="26"/>
  <c r="J16" i="26" l="1"/>
  <c r="I16" i="26"/>
  <c r="H16" i="26"/>
  <c r="E16" i="26"/>
  <c r="F16" i="26"/>
  <c r="B21" i="25"/>
  <c r="C21" i="25"/>
  <c r="L21" i="25" l="1"/>
  <c r="K21" i="25"/>
  <c r="I21" i="25"/>
  <c r="H14" i="25"/>
  <c r="H13" i="25"/>
  <c r="H21" i="25" l="1"/>
  <c r="B23" i="25"/>
  <c r="M21" i="25"/>
  <c r="G21" i="25"/>
  <c r="F6" i="25"/>
  <c r="F5" i="25"/>
  <c r="E3" i="25"/>
  <c r="B9" i="22"/>
  <c r="B11" i="22" s="1"/>
  <c r="E9" i="22"/>
  <c r="F9" i="22"/>
  <c r="H9" i="22"/>
  <c r="B6" i="21"/>
  <c r="B8" i="21" s="1"/>
  <c r="E6" i="21"/>
  <c r="F6" i="21"/>
  <c r="M14" i="20"/>
  <c r="C14" i="20"/>
  <c r="B14" i="20"/>
  <c r="J23" i="19"/>
  <c r="M23" i="19"/>
  <c r="M13" i="18"/>
  <c r="H13" i="18"/>
  <c r="C13" i="18"/>
  <c r="B13" i="18"/>
  <c r="M12" i="17"/>
  <c r="H12" i="17"/>
  <c r="B12" i="17"/>
  <c r="B12" i="16"/>
  <c r="C12" i="16"/>
  <c r="K12" i="16"/>
  <c r="L12" i="16"/>
  <c r="M12" i="16"/>
  <c r="G12" i="15"/>
  <c r="L12" i="15"/>
  <c r="M12" i="15"/>
  <c r="M11" i="14"/>
  <c r="L11" i="14"/>
  <c r="G11" i="14"/>
  <c r="B11" i="14"/>
  <c r="M12" i="13"/>
  <c r="B12" i="13"/>
  <c r="J22" i="12"/>
  <c r="K22" i="12"/>
  <c r="L22" i="12"/>
  <c r="M22" i="12"/>
  <c r="N22" i="12"/>
  <c r="B21" i="11"/>
  <c r="J21" i="11"/>
  <c r="L21" i="11"/>
  <c r="M21" i="11"/>
  <c r="M14" i="10"/>
  <c r="L14" i="10"/>
  <c r="K14" i="10"/>
  <c r="G14" i="10"/>
  <c r="B14" i="10"/>
  <c r="K22" i="9"/>
  <c r="L22" i="9"/>
  <c r="M22" i="9"/>
  <c r="N22" i="9"/>
  <c r="B28" i="8"/>
  <c r="H28" i="8"/>
  <c r="M28" i="8"/>
  <c r="B42" i="7"/>
  <c r="C42" i="7"/>
  <c r="E42" i="7"/>
  <c r="F42" i="7"/>
  <c r="G42" i="7"/>
  <c r="H42" i="7"/>
  <c r="I42" i="7"/>
  <c r="J42" i="7"/>
  <c r="K42" i="7"/>
  <c r="L42" i="7"/>
  <c r="M42" i="7"/>
  <c r="B25" i="6"/>
  <c r="C25" i="6"/>
  <c r="E25" i="6"/>
  <c r="G25" i="6"/>
  <c r="H25" i="6"/>
  <c r="I25" i="6"/>
  <c r="J25" i="6"/>
  <c r="K25" i="6"/>
  <c r="L25" i="6"/>
  <c r="M25" i="6"/>
  <c r="B18" i="5"/>
  <c r="C18" i="5"/>
  <c r="E18" i="5"/>
  <c r="H18" i="5"/>
  <c r="I18" i="5"/>
  <c r="L18" i="5"/>
  <c r="M18" i="5"/>
  <c r="M16" i="4"/>
  <c r="L16" i="4"/>
  <c r="I16" i="4"/>
  <c r="H16" i="4"/>
  <c r="E16" i="4"/>
  <c r="C16" i="4"/>
  <c r="B16" i="4"/>
  <c r="B21" i="3"/>
  <c r="C21" i="3"/>
  <c r="E21" i="3"/>
  <c r="F21" i="3"/>
  <c r="H21" i="3"/>
  <c r="K21" i="3"/>
  <c r="L21" i="3"/>
  <c r="M21" i="3"/>
  <c r="M17" i="2"/>
  <c r="L17" i="2"/>
  <c r="K17" i="2"/>
  <c r="I17" i="2"/>
  <c r="J3" i="1" s="1"/>
  <c r="H17" i="2"/>
  <c r="G17" i="2"/>
  <c r="B19" i="2"/>
  <c r="F6" i="2"/>
  <c r="F5" i="2"/>
  <c r="E3" i="2"/>
  <c r="E17" i="2" s="1"/>
  <c r="M4" i="24"/>
  <c r="L4" i="24"/>
  <c r="K4" i="24"/>
  <c r="J4" i="24"/>
  <c r="I4" i="24"/>
  <c r="H4" i="24"/>
  <c r="G4" i="24"/>
  <c r="F4" i="24"/>
  <c r="E4" i="24"/>
  <c r="C4" i="24"/>
  <c r="B4" i="24"/>
  <c r="M5" i="23"/>
  <c r="L5" i="23"/>
  <c r="K5" i="23"/>
  <c r="J5" i="23"/>
  <c r="I5" i="23"/>
  <c r="H5" i="23"/>
  <c r="G5" i="23"/>
  <c r="F5" i="23"/>
  <c r="E5" i="23"/>
  <c r="C5" i="23"/>
  <c r="B5" i="23"/>
  <c r="G13" i="20"/>
  <c r="G12" i="20"/>
  <c r="F11" i="20"/>
  <c r="F9" i="20"/>
  <c r="G8" i="20"/>
  <c r="H7" i="20"/>
  <c r="H14" i="20" s="1"/>
  <c r="E3" i="20"/>
  <c r="E14" i="20" s="1"/>
  <c r="G22" i="19"/>
  <c r="G21" i="19"/>
  <c r="F20" i="19"/>
  <c r="F19" i="19"/>
  <c r="F17" i="19"/>
  <c r="F16" i="19"/>
  <c r="F15" i="19"/>
  <c r="G14" i="19"/>
  <c r="G13" i="19"/>
  <c r="F12" i="19"/>
  <c r="G11" i="19"/>
  <c r="G10" i="19"/>
  <c r="F9" i="19"/>
  <c r="C5" i="19"/>
  <c r="B5" i="19"/>
  <c r="B23" i="19" s="1"/>
  <c r="F4" i="19"/>
  <c r="E3" i="19"/>
  <c r="E23" i="19" s="1"/>
  <c r="J12" i="18"/>
  <c r="G11" i="18"/>
  <c r="G13" i="18" s="1"/>
  <c r="J10" i="18"/>
  <c r="J8" i="18"/>
  <c r="J6" i="18"/>
  <c r="F4" i="18"/>
  <c r="F13" i="18" s="1"/>
  <c r="E3" i="18"/>
  <c r="E13" i="18" s="1"/>
  <c r="J11" i="17"/>
  <c r="J12" i="17" s="1"/>
  <c r="G6" i="17"/>
  <c r="G12" i="17" s="1"/>
  <c r="E3" i="17"/>
  <c r="E12" i="17" s="1"/>
  <c r="C3" i="17"/>
  <c r="C12" i="17" s="1"/>
  <c r="J10" i="16"/>
  <c r="J12" i="16" s="1"/>
  <c r="G9" i="16"/>
  <c r="H8" i="16"/>
  <c r="H12" i="16" s="1"/>
  <c r="G6" i="16"/>
  <c r="E3" i="16"/>
  <c r="E12" i="16" s="1"/>
  <c r="F11" i="15"/>
  <c r="F10" i="15"/>
  <c r="H8" i="15"/>
  <c r="H12" i="15" s="1"/>
  <c r="C8" i="15"/>
  <c r="C12" i="15" s="1"/>
  <c r="B8" i="15"/>
  <c r="B12" i="15" s="1"/>
  <c r="K7" i="15"/>
  <c r="K12" i="15" s="1"/>
  <c r="E3" i="15"/>
  <c r="E12" i="15" s="1"/>
  <c r="C8" i="14"/>
  <c r="C11" i="14" s="1"/>
  <c r="F7" i="14"/>
  <c r="F11" i="14" s="1"/>
  <c r="E3" i="14"/>
  <c r="E11" i="14" s="1"/>
  <c r="L11" i="13"/>
  <c r="C11" i="13"/>
  <c r="F10" i="13"/>
  <c r="G9" i="13"/>
  <c r="L7" i="13"/>
  <c r="L12" i="13" s="1"/>
  <c r="F6" i="13"/>
  <c r="G5" i="13"/>
  <c r="F4" i="13"/>
  <c r="C4" i="13"/>
  <c r="E3" i="13"/>
  <c r="E12" i="13" s="1"/>
  <c r="F21" i="12"/>
  <c r="H19" i="12"/>
  <c r="H22" i="12" s="1"/>
  <c r="G19" i="12"/>
  <c r="C19" i="12"/>
  <c r="B19" i="12"/>
  <c r="B22" i="12" s="1"/>
  <c r="F18" i="12"/>
  <c r="F17" i="12"/>
  <c r="C16" i="12"/>
  <c r="C22" i="12" s="1"/>
  <c r="G15" i="12"/>
  <c r="F14" i="12"/>
  <c r="F13" i="12"/>
  <c r="G12" i="12"/>
  <c r="G9" i="12"/>
  <c r="G8" i="12"/>
  <c r="F7" i="12"/>
  <c r="F5" i="12"/>
  <c r="E3" i="12"/>
  <c r="E22" i="12" s="1"/>
  <c r="H18" i="11"/>
  <c r="H21" i="11" s="1"/>
  <c r="C17" i="11"/>
  <c r="F15" i="11"/>
  <c r="F14" i="11"/>
  <c r="K13" i="11"/>
  <c r="C13" i="11"/>
  <c r="F12" i="11"/>
  <c r="F11" i="11"/>
  <c r="F10" i="11"/>
  <c r="F9" i="11"/>
  <c r="F8" i="11"/>
  <c r="K7" i="11"/>
  <c r="F4" i="11"/>
  <c r="E3" i="11"/>
  <c r="E21" i="11" s="1"/>
  <c r="F11" i="10"/>
  <c r="F10" i="10"/>
  <c r="C7" i="10"/>
  <c r="H6" i="10"/>
  <c r="H4" i="10"/>
  <c r="E3" i="10"/>
  <c r="E14" i="10" s="1"/>
  <c r="F21" i="9"/>
  <c r="G19" i="9"/>
  <c r="C19" i="9"/>
  <c r="B19" i="9"/>
  <c r="F16" i="9"/>
  <c r="C13" i="9"/>
  <c r="B10" i="9"/>
  <c r="F9" i="9"/>
  <c r="G8" i="9"/>
  <c r="G7" i="9"/>
  <c r="C7" i="9"/>
  <c r="F6" i="9"/>
  <c r="F5" i="9"/>
  <c r="F4" i="9"/>
  <c r="E3" i="9"/>
  <c r="E22" i="9" s="1"/>
  <c r="F25" i="8"/>
  <c r="F24" i="8"/>
  <c r="F23" i="8"/>
  <c r="G22" i="8"/>
  <c r="G28" i="8" s="1"/>
  <c r="F22" i="8"/>
  <c r="C22" i="8"/>
  <c r="C28" i="8" s="1"/>
  <c r="F18" i="8"/>
  <c r="F16" i="8"/>
  <c r="F15" i="8"/>
  <c r="K14" i="8"/>
  <c r="K28" i="8" s="1"/>
  <c r="F12" i="8"/>
  <c r="F11" i="8"/>
  <c r="F10" i="8"/>
  <c r="F9" i="8"/>
  <c r="F8" i="8"/>
  <c r="F7" i="8"/>
  <c r="I5" i="8"/>
  <c r="I28" i="8" s="1"/>
  <c r="L4" i="8"/>
  <c r="L28" i="8" s="1"/>
  <c r="E3" i="8"/>
  <c r="E28" i="8" s="1"/>
  <c r="F18" i="6"/>
  <c r="F25" i="6" s="1"/>
  <c r="F14" i="5"/>
  <c r="F18" i="5" s="1"/>
  <c r="F12" i="4"/>
  <c r="F16" i="4" s="1"/>
  <c r="B6" i="24" l="1"/>
  <c r="C22" i="9"/>
  <c r="C21" i="11"/>
  <c r="F14" i="10"/>
  <c r="F17" i="2"/>
  <c r="B16" i="20"/>
  <c r="B18" i="4"/>
  <c r="B20" i="5"/>
  <c r="B22" i="9"/>
  <c r="B24" i="9" s="1"/>
  <c r="C12" i="13"/>
  <c r="B14" i="13" s="1"/>
  <c r="G12" i="16"/>
  <c r="B14" i="17"/>
  <c r="B44" i="7"/>
  <c r="F22" i="9"/>
  <c r="G23" i="19"/>
  <c r="B23" i="3"/>
  <c r="G22" i="9"/>
  <c r="F23" i="19"/>
  <c r="B15" i="18"/>
  <c r="K21" i="11"/>
  <c r="L3" i="1" s="1"/>
  <c r="G22" i="12"/>
  <c r="G12" i="13"/>
  <c r="F12" i="13"/>
  <c r="F12" i="15"/>
  <c r="J13" i="18"/>
  <c r="K3" i="1" s="1"/>
  <c r="G14" i="20"/>
  <c r="C14" i="10"/>
  <c r="B16" i="10" s="1"/>
  <c r="B14" i="16"/>
  <c r="F28" i="8"/>
  <c r="H14" i="10"/>
  <c r="F21" i="11"/>
  <c r="F22" i="12"/>
  <c r="F14" i="20"/>
  <c r="B7" i="23"/>
  <c r="F21" i="25"/>
  <c r="E21" i="25"/>
  <c r="B23" i="11"/>
  <c r="C23" i="19"/>
  <c r="B25" i="19" s="1"/>
  <c r="B13" i="14"/>
  <c r="B30" i="8"/>
  <c r="B27" i="6"/>
  <c r="B14" i="15"/>
  <c r="B24" i="12"/>
  <c r="C4" i="1" l="1"/>
  <c r="H3" i="1"/>
</calcChain>
</file>

<file path=xl/sharedStrings.xml><?xml version="1.0" encoding="utf-8"?>
<sst xmlns="http://schemas.openxmlformats.org/spreadsheetml/2006/main" count="1128" uniqueCount="480">
  <si>
    <t>Funding Allocation</t>
  </si>
  <si>
    <t>Funding Distribution</t>
  </si>
  <si>
    <t>2009 Projects</t>
  </si>
  <si>
    <t>County</t>
  </si>
  <si>
    <t>City</t>
  </si>
  <si>
    <t>Operating</t>
  </si>
  <si>
    <t>Grant</t>
  </si>
  <si>
    <t>Loan</t>
  </si>
  <si>
    <t>NJTF</t>
  </si>
  <si>
    <t>Stocks</t>
  </si>
  <si>
    <t>Land/bldg</t>
  </si>
  <si>
    <t>Infrastructure</t>
  </si>
  <si>
    <t>Jobs</t>
  </si>
  <si>
    <t>Operating expense</t>
  </si>
  <si>
    <t>Buffalo City Tourism Foundation</t>
  </si>
  <si>
    <t xml:space="preserve">     2010 Operating Allocation</t>
  </si>
  <si>
    <t xml:space="preserve">     Additional Funding for Projects</t>
  </si>
  <si>
    <t>CED - Building repair</t>
  </si>
  <si>
    <t>Labor Availability Study</t>
  </si>
  <si>
    <t>ND Trade Office</t>
  </si>
  <si>
    <t>Marketing Materials Update</t>
  </si>
  <si>
    <t>Great River Energy</t>
  </si>
  <si>
    <t>Martinizing Dry Cleaning LLC</t>
  </si>
  <si>
    <t>Allen Enterprises</t>
  </si>
  <si>
    <t>Goodrich Building II Tile Repair Proect</t>
  </si>
  <si>
    <t>South Central Dakota Regional Council Dues</t>
  </si>
  <si>
    <t>Jamestown College Intern</t>
  </si>
  <si>
    <t>Wastewater Treatment Plant Emergency Repair</t>
  </si>
  <si>
    <t>Purchase of Newman Land/Spiritwood Energy Park</t>
  </si>
  <si>
    <t>Wastewater Treatment Plant</t>
  </si>
  <si>
    <t>Special Assessments</t>
  </si>
  <si>
    <t>Totals</t>
  </si>
  <si>
    <t>\</t>
  </si>
  <si>
    <t>Project totals</t>
  </si>
  <si>
    <t>2008 Projects</t>
  </si>
  <si>
    <t xml:space="preserve">     2008 Operating Allocation</t>
  </si>
  <si>
    <t>Champ Industries, USA Inc. (PACE)</t>
  </si>
  <si>
    <t>Community Labor Availability Study</t>
  </si>
  <si>
    <t>Jamestown Regional Airport</t>
  </si>
  <si>
    <t>Partners in Mktg Grant-JSDC Intern</t>
  </si>
  <si>
    <t>South Central Dakota Regional Council</t>
  </si>
  <si>
    <t xml:space="preserve">     Dues</t>
  </si>
  <si>
    <t xml:space="preserve">     Small Business Development Center</t>
  </si>
  <si>
    <t xml:space="preserve">     IRP SCDRC</t>
  </si>
  <si>
    <t>Projects denied 2008:</t>
  </si>
  <si>
    <t xml:space="preserve">  Airfest 2008</t>
  </si>
  <si>
    <t xml:space="preserve">  Brad Gebeke Partial Lot </t>
  </si>
  <si>
    <t xml:space="preserve">  JCC Retail Promotions Request</t>
  </si>
  <si>
    <t xml:space="preserve">  National Wind</t>
  </si>
  <si>
    <t>2007 Projects</t>
  </si>
  <si>
    <t xml:space="preserve">     2007 Operating Allocation</t>
  </si>
  <si>
    <t>Downtown  Parking Lots</t>
  </si>
  <si>
    <t>DuraTech</t>
  </si>
  <si>
    <t>JSDC Property Taxes</t>
  </si>
  <si>
    <t>Jamestown Airport Tiedowns</t>
  </si>
  <si>
    <t>Marketing DVD</t>
  </si>
  <si>
    <t>North Dakota Trade Office</t>
  </si>
  <si>
    <t xml:space="preserve">     Revolving Loan Fund</t>
  </si>
  <si>
    <t>Projects denied 2007:</t>
  </si>
  <si>
    <t xml:space="preserve">     Marcil Community Center Project</t>
  </si>
  <si>
    <t xml:space="preserve">     Jamestown Arts Center Lot Project</t>
  </si>
  <si>
    <t>Projects written off 2007:</t>
  </si>
  <si>
    <t xml:space="preserve">     Roger &amp; Renae Emter (Emter Family Dinner Theatre Inc.)</t>
  </si>
  <si>
    <t>2006 Projects</t>
  </si>
  <si>
    <t xml:space="preserve">     2006 Operating Allocation</t>
  </si>
  <si>
    <t>Building Expenses/Office Relocation</t>
  </si>
  <si>
    <t>Civic Center Study</t>
  </si>
  <si>
    <t>Dream Fund</t>
  </si>
  <si>
    <t>Legal Fees</t>
  </si>
  <si>
    <t>Precision Results Mfg, Inc.</t>
  </si>
  <si>
    <t>Resource Development Specialist</t>
  </si>
  <si>
    <t>Ringdahl, Inc. (Jamestown Ambulance)</t>
  </si>
  <si>
    <t>RTS Shearing, Inc.</t>
  </si>
  <si>
    <t>Spiritwood Industrial Energy Park</t>
  </si>
  <si>
    <t>Transportation Study</t>
  </si>
  <si>
    <t>Zappas Building (Lunde Properties II)</t>
  </si>
  <si>
    <t>Projects denied 2006:</t>
  </si>
  <si>
    <t xml:space="preserve">  Great Stories Book Shoppe</t>
  </si>
  <si>
    <t xml:space="preserve">  Watering flower pots downtown Jamestown</t>
  </si>
  <si>
    <t>2005 Projects</t>
  </si>
  <si>
    <t xml:space="preserve">     Business Development Specialist</t>
  </si>
  <si>
    <t>Agri-Cover, Inc.</t>
  </si>
  <si>
    <t>Biomass Crops Potential</t>
  </si>
  <si>
    <t>Browning's Honey, Inc.</t>
  </si>
  <si>
    <t xml:space="preserve">     2005 Operating Allocation</t>
  </si>
  <si>
    <t>Cavendish Farms, Inc.</t>
  </si>
  <si>
    <t>Central Grasslands Research Center</t>
  </si>
  <si>
    <t>Champ Industries USA, Inc.</t>
  </si>
  <si>
    <t>Community Labor Study</t>
  </si>
  <si>
    <t>COPS</t>
  </si>
  <si>
    <t xml:space="preserve">     Downtown Market Analysis</t>
  </si>
  <si>
    <t xml:space="preserve">     Public Property Improvement</t>
  </si>
  <si>
    <t>Dakota Brands Int'l, Inc.</t>
  </si>
  <si>
    <t>DREAM Fund</t>
  </si>
  <si>
    <t>Flags Across America</t>
  </si>
  <si>
    <t>Goodrich Cargo Systems, Inc.</t>
  </si>
  <si>
    <t>I-94 Business Park (Water Loop)</t>
  </si>
  <si>
    <t>Jamestown Avionics</t>
  </si>
  <si>
    <t>Jamestown Marble</t>
  </si>
  <si>
    <t>Jamestown Municipal Airport Authority</t>
  </si>
  <si>
    <t xml:space="preserve">     Job Incentive</t>
  </si>
  <si>
    <t xml:space="preserve">     Capital Improvements</t>
  </si>
  <si>
    <t>Lake Shore Retreat</t>
  </si>
  <si>
    <t>Midwestern Machine *</t>
  </si>
  <si>
    <t>Stutsman County Multi-Use Path</t>
  </si>
  <si>
    <t>Office Relocation</t>
  </si>
  <si>
    <t xml:space="preserve">     JSDC</t>
  </si>
  <si>
    <t xml:space="preserve">     JACC</t>
  </si>
  <si>
    <t xml:space="preserve">     SCDRC</t>
  </si>
  <si>
    <t>RealTruck.com</t>
  </si>
  <si>
    <t>Reister Meats &amp; Catering</t>
  </si>
  <si>
    <t>RTS Shearing</t>
  </si>
  <si>
    <t>Small Business Development Center</t>
  </si>
  <si>
    <t>SCDRC (Revolving Loan Fund)</t>
  </si>
  <si>
    <t>ToMarket, Inc.</t>
  </si>
  <si>
    <t>*These NJTF are pass-through only. No City/County monies were used.</t>
  </si>
  <si>
    <t>2004 Project</t>
  </si>
  <si>
    <t>PACE</t>
  </si>
  <si>
    <t>Proposed Jobs</t>
  </si>
  <si>
    <t>3rd Street SE</t>
  </si>
  <si>
    <t xml:space="preserve">Alternative Billing </t>
  </si>
  <si>
    <t>Browning Honey, Inc.</t>
  </si>
  <si>
    <t>BCTF</t>
  </si>
  <si>
    <t>Cavendish Farms</t>
  </si>
  <si>
    <t>Chief Energy, LLC</t>
  </si>
  <si>
    <t>Childcare Training Workshop</t>
  </si>
  <si>
    <t>Commercial Vegetable Growers</t>
  </si>
  <si>
    <t>Community Labor Survey</t>
  </si>
  <si>
    <t>Dynamics Marketing Building</t>
  </si>
  <si>
    <t>Goodrich MARCOM</t>
  </si>
  <si>
    <t>Goodrich Cargo Systems</t>
  </si>
  <si>
    <t>I-94 Business Park</t>
  </si>
  <si>
    <t>JACC Business Promotion</t>
  </si>
  <si>
    <t>JSDC Internship/Marketing</t>
  </si>
  <si>
    <t>Precision Results Mfg, Inc.*~</t>
  </si>
  <si>
    <t>RTS Shearing, Inc.*</t>
  </si>
  <si>
    <t>Res. Dev. Specialist</t>
  </si>
  <si>
    <t>SBDC</t>
  </si>
  <si>
    <t>Strategic Plan (COPS)</t>
  </si>
  <si>
    <t>Water Monitor</t>
  </si>
  <si>
    <t>~ Contract cancelled by business in 2005.</t>
  </si>
  <si>
    <t xml:space="preserve">Written off:  </t>
  </si>
  <si>
    <t>Water Monitor (03)</t>
  </si>
  <si>
    <t>NDC Holdings (00)</t>
  </si>
  <si>
    <t>DirectLine (03)</t>
  </si>
  <si>
    <t>2003 Project</t>
  </si>
  <si>
    <t>Operating Expense</t>
  </si>
  <si>
    <t>Anne Carlsen Center</t>
  </si>
  <si>
    <t>Dakota Fresh</t>
  </si>
  <si>
    <t>DirectLine Distributing***</t>
  </si>
  <si>
    <t>Fort Seward</t>
  </si>
  <si>
    <t>Goodrich Industries (PDU)</t>
  </si>
  <si>
    <t>Goodrich Industries (MARCOM)</t>
  </si>
  <si>
    <t>I-94 Industrial Park</t>
  </si>
  <si>
    <t>ICS FarRms</t>
  </si>
  <si>
    <t>LPN Program</t>
  </si>
  <si>
    <t>Napoleon Development Corp</t>
  </si>
  <si>
    <t>Resource Dev. Spec.</t>
  </si>
  <si>
    <t>SCDRC</t>
  </si>
  <si>
    <t>WaterMonitor, Inc</t>
  </si>
  <si>
    <t>Waterpark Study</t>
  </si>
  <si>
    <t>Wind Study</t>
  </si>
  <si>
    <t>Project Totals</t>
  </si>
  <si>
    <t>***$7500 was paid out; monies were not received from City/County</t>
  </si>
  <si>
    <t>Hydrobikes (94)</t>
  </si>
  <si>
    <t>Summers Electric (99)</t>
  </si>
  <si>
    <t>iDiamond (00)</t>
  </si>
  <si>
    <t>2002 Project</t>
  </si>
  <si>
    <t>AgriCover</t>
  </si>
  <si>
    <t>Cavendish Farms (Wastewater)</t>
  </si>
  <si>
    <t>Choice Properties /Newman Signs</t>
  </si>
  <si>
    <t>Dakota Fresh Cut Salad</t>
  </si>
  <si>
    <t>Mainstreet Downtown Assoc.</t>
  </si>
  <si>
    <t>LPN Training</t>
  </si>
  <si>
    <t>School to Careers</t>
  </si>
  <si>
    <t>Purchase of Ray's Printing building</t>
  </si>
  <si>
    <t>2001 Project</t>
  </si>
  <si>
    <t>Alternative Billing Solutions</t>
  </si>
  <si>
    <t>AVIKO (Wastewater)</t>
  </si>
  <si>
    <t>AVIKO (Legal Fees)</t>
  </si>
  <si>
    <t>Chase Lake Cheese</t>
  </si>
  <si>
    <t>Commercial Vegetable Marketing</t>
  </si>
  <si>
    <t>Community Venture Network</t>
  </si>
  <si>
    <t>ED&amp;F California Marketing Initiative</t>
  </si>
  <si>
    <t>Ethanol Study</t>
  </si>
  <si>
    <t>HVIC Task Force</t>
  </si>
  <si>
    <t>Identity Preserved Wheat Program</t>
  </si>
  <si>
    <t>Lucas Aerospace/TRW</t>
  </si>
  <si>
    <t>MZB Technologies (Midwest Ag Service)</t>
  </si>
  <si>
    <t>Noble Development</t>
  </si>
  <si>
    <t>Westward Products</t>
  </si>
  <si>
    <t>Wastewater Treatment Facility Construction</t>
  </si>
  <si>
    <t>Wastewater Plant</t>
  </si>
  <si>
    <t xml:space="preserve">Written Off:  </t>
  </si>
  <si>
    <t>Ultimate RV (93-94)</t>
  </si>
  <si>
    <t>Bittco/Chiefs Choice (94)</t>
  </si>
  <si>
    <t>Chase Lake Cheese (93)</t>
  </si>
  <si>
    <t>AVIKO (94)</t>
  </si>
  <si>
    <t>2000 Project</t>
  </si>
  <si>
    <t>Projected Jobs</t>
  </si>
  <si>
    <t>21st Century Homesteading Project (SCDRC)</t>
  </si>
  <si>
    <t>Dan Poland Machine</t>
  </si>
  <si>
    <t>Emter Family Dinner Theatre</t>
  </si>
  <si>
    <t>iDiamond</t>
  </si>
  <si>
    <t>James River Diesel</t>
  </si>
  <si>
    <t>Jamestown Hospital</t>
  </si>
  <si>
    <t>Jamestown Styling Academy</t>
  </si>
  <si>
    <t>Kensal Com. Grocery</t>
  </si>
  <si>
    <t>ND Irrigation Caucus (CVG)</t>
  </si>
  <si>
    <t>Precision Results</t>
  </si>
  <si>
    <t>Pro-Am Trans.</t>
  </si>
  <si>
    <t>Wastewater plant</t>
  </si>
  <si>
    <t>Workforce Availabilty Study</t>
  </si>
  <si>
    <t>Total</t>
  </si>
  <si>
    <t>Projects Total</t>
  </si>
  <si>
    <t>1999 Project</t>
  </si>
  <si>
    <t>Dakota Country Meants</t>
  </si>
  <si>
    <t>High Value Irrigated Crop Task Force</t>
  </si>
  <si>
    <t>Railroad Spur (Food Park)</t>
  </si>
  <si>
    <t>Stutsman Cty (Hwy 10 concept report)</t>
  </si>
  <si>
    <t>Summer's Electric</t>
  </si>
  <si>
    <t>Transcriptions, Ltd.(MedQuist)</t>
  </si>
  <si>
    <t>1998 Project</t>
  </si>
  <si>
    <t>3rd Street SE Project</t>
  </si>
  <si>
    <t>Frontier Village Water Imp.</t>
  </si>
  <si>
    <t>Lehr EDC - Fargo Assembly</t>
  </si>
  <si>
    <t>Lucas Aerospace</t>
  </si>
  <si>
    <t>Rosenbluth Int'l</t>
  </si>
  <si>
    <t>Sewer Utility Fund</t>
  </si>
  <si>
    <t>Sky Farmer Agcraft Supply</t>
  </si>
  <si>
    <t>Projects total</t>
  </si>
  <si>
    <t>1997 Project</t>
  </si>
  <si>
    <t>Appraisal Fee: Lot 1, Blk 2 Redmond</t>
  </si>
  <si>
    <t>Baling Facility/JSDC Infrast.</t>
  </si>
  <si>
    <t>Carrington CDE (AgGrow Oils)</t>
  </si>
  <si>
    <t>JSDC(55 acres in Food Park)</t>
  </si>
  <si>
    <t>Specialty Crop Coalition</t>
  </si>
  <si>
    <t>Non-point pollution program (SCDRC)</t>
  </si>
  <si>
    <t>1996 Project</t>
  </si>
  <si>
    <t>Agri-Cover</t>
  </si>
  <si>
    <t>American Prairie Foods, LLC</t>
  </si>
  <si>
    <t>Classic Glass Window Shop</t>
  </si>
  <si>
    <t>Edgeley Dev. Corp (Fargo Assembly)</t>
  </si>
  <si>
    <t>Glenmac</t>
  </si>
  <si>
    <t>ND Specialities, Inc./Gifts Dakota Style</t>
  </si>
  <si>
    <t>Precision Results Mfg.</t>
  </si>
  <si>
    <t>1995 Project</t>
  </si>
  <si>
    <t>Dakota Country Meats</t>
  </si>
  <si>
    <t>Dakota Crop Services</t>
  </si>
  <si>
    <t>Dynamics Marketing</t>
  </si>
  <si>
    <t>Hydro-Bikes, Inc.</t>
  </si>
  <si>
    <t>Pipestem Creek</t>
  </si>
  <si>
    <t>Thomas Motors</t>
  </si>
  <si>
    <t>Webster Corp.</t>
  </si>
  <si>
    <t>1994 Project</t>
  </si>
  <si>
    <t xml:space="preserve">Accu-Troll </t>
  </si>
  <si>
    <t>American Prairie Foods</t>
  </si>
  <si>
    <t>Chief's Choice/Bittco</t>
  </si>
  <si>
    <t>Dakota Engine Builders</t>
  </si>
  <si>
    <t>Glenmac, Inc.</t>
  </si>
  <si>
    <t>Haybuster Mfg. Inc./DuraTech</t>
  </si>
  <si>
    <t>Jamestown Livestock Auction</t>
  </si>
  <si>
    <t>Ultimate RV</t>
  </si>
  <si>
    <t>1993 Project</t>
  </si>
  <si>
    <t>Alpha Opportunities, Inc.</t>
  </si>
  <si>
    <t>Buffalo City Wood Products</t>
  </si>
  <si>
    <t>Buffalo Processing Plant-New Rockford,  ND</t>
  </si>
  <si>
    <t>Chase Lake Cheese Admin (SCDRC)</t>
  </si>
  <si>
    <t>Cut-Som Graphics</t>
  </si>
  <si>
    <t>Dakota Belt Co.</t>
  </si>
  <si>
    <t>Dakota Brands, Int'l</t>
  </si>
  <si>
    <t>Dakota Engine Co</t>
  </si>
  <si>
    <t>Graphic Results Plus</t>
  </si>
  <si>
    <t>Lucas Western</t>
  </si>
  <si>
    <t>ND Buffalo Foundation</t>
  </si>
  <si>
    <t>Precision Fiberglass</t>
  </si>
  <si>
    <t>SCDRC (Loan Pool)</t>
  </si>
  <si>
    <t>Telemarketing Grant (SCDRC)</t>
  </si>
  <si>
    <t>Wiest Truckline, Inc.</t>
  </si>
  <si>
    <t>1992 Project</t>
  </si>
  <si>
    <t>Accessible Space, Inc</t>
  </si>
  <si>
    <t>Carrington CDE (Dakota Pasta)</t>
  </si>
  <si>
    <t>Choice Properties (Newman Signs)</t>
  </si>
  <si>
    <t>Dakota Brands Int'l</t>
  </si>
  <si>
    <t>Happenings</t>
  </si>
  <si>
    <t>Hi-Acres Manor</t>
  </si>
  <si>
    <t>James River Furniture</t>
  </si>
  <si>
    <t>Pak-It Co.</t>
  </si>
  <si>
    <t>1991 Project</t>
  </si>
  <si>
    <t>1990 Project</t>
  </si>
  <si>
    <t>Wildfire Equipment</t>
  </si>
  <si>
    <t>Lindbergs</t>
  </si>
  <si>
    <t>Accessible Space, Inc.</t>
  </si>
  <si>
    <t>Newman Signs</t>
  </si>
  <si>
    <t>Project total</t>
  </si>
  <si>
    <t>1989 Project</t>
  </si>
  <si>
    <t>Dakota Plains</t>
  </si>
  <si>
    <t>1988 Project</t>
  </si>
  <si>
    <t>2010 Projects</t>
  </si>
  <si>
    <t>Custom Contracting LLC</t>
  </si>
  <si>
    <t>RainSource Capital</t>
  </si>
  <si>
    <t>Jamestown Area Chamber of Commerce</t>
  </si>
  <si>
    <t>Eldermark</t>
  </si>
  <si>
    <t>Lunde Properties II - CityScapes</t>
  </si>
  <si>
    <t>FARRMS</t>
  </si>
  <si>
    <t>RTS Shearing, LLC</t>
  </si>
  <si>
    <t>PACE/Flex-PACE Interest Buydown</t>
  </si>
  <si>
    <t>PACE/Interest Buydown</t>
  </si>
  <si>
    <t>PACE/ Interest Buydown</t>
  </si>
  <si>
    <t>Project Denied:</t>
  </si>
  <si>
    <t>Bowdon Locker Plant</t>
  </si>
  <si>
    <t>2011 Projects</t>
  </si>
  <si>
    <t xml:space="preserve">     2011 Operating Allocation</t>
  </si>
  <si>
    <t>Dakota Spirit AgEnergy(Denmark Trip)</t>
  </si>
  <si>
    <t>Allen enterprises</t>
  </si>
  <si>
    <t>Storefront Improvement Project</t>
  </si>
  <si>
    <t>Incubator for Entrprenuership</t>
  </si>
  <si>
    <t xml:space="preserve">JSDC Intern </t>
  </si>
  <si>
    <t>Greenhouse (CEA)</t>
  </si>
  <si>
    <t>Super 8 Motel</t>
  </si>
  <si>
    <t>Stutsman County Housing Authority</t>
  </si>
  <si>
    <t>Custom Contracting</t>
  </si>
  <si>
    <t>Spiritwood Energy Park Association, LLC (SEPA)</t>
  </si>
  <si>
    <t>Green Vision Group</t>
  </si>
  <si>
    <t>Gavilion</t>
  </si>
  <si>
    <t>Buffalo City Tourism</t>
  </si>
  <si>
    <t xml:space="preserve">         2012 Operating Allocation </t>
  </si>
  <si>
    <t>Stoudt Ford Quick Lane</t>
  </si>
  <si>
    <t>Cherry Berry</t>
  </si>
  <si>
    <t>Endless Harvest (APUC)</t>
  </si>
  <si>
    <t>E-Nugget/Carbontec (APUC)</t>
  </si>
  <si>
    <t xml:space="preserve">SRF Consulting </t>
  </si>
  <si>
    <t>Dunwoodie</t>
  </si>
  <si>
    <t>none</t>
  </si>
  <si>
    <t xml:space="preserve">Projects re-amortized </t>
  </si>
  <si>
    <t>Browning Honey</t>
  </si>
  <si>
    <t xml:space="preserve">         Additional Project Funding </t>
  </si>
  <si>
    <t>PACE/Flex-PACE Interest Buydown Loan</t>
  </si>
  <si>
    <t>RTS Shearing*</t>
  </si>
  <si>
    <t xml:space="preserve">* RTS never took out the loan </t>
  </si>
  <si>
    <t xml:space="preserve">Special Assessments </t>
  </si>
  <si>
    <t>APUC Grant</t>
  </si>
  <si>
    <t>2012 Projects</t>
  </si>
  <si>
    <t>Land/
Building</t>
  </si>
  <si>
    <t>PACE/Flex PACE Interest Buydown</t>
  </si>
  <si>
    <t xml:space="preserve">Total Funds Used </t>
  </si>
  <si>
    <t xml:space="preserve">Totals </t>
  </si>
  <si>
    <t>Land/Building</t>
  </si>
  <si>
    <t>JSDC Operating Expense</t>
  </si>
  <si>
    <t>Easements</t>
  </si>
  <si>
    <t>2013 Projects</t>
  </si>
  <si>
    <t xml:space="preserve">Salaries </t>
  </si>
  <si>
    <t xml:space="preserve">JSDC Operation </t>
  </si>
  <si>
    <t xml:space="preserve">Leverage </t>
  </si>
  <si>
    <t xml:space="preserve">SCDRC Dues </t>
  </si>
  <si>
    <t>PACE/Flex-PACE Interest Buy down Loan</t>
  </si>
  <si>
    <t>ACT Workforce Ready Program</t>
  </si>
  <si>
    <t xml:space="preserve">Buffalo City Grill </t>
  </si>
  <si>
    <t xml:space="preserve">Special assessments </t>
  </si>
  <si>
    <t xml:space="preserve">Reister Meats </t>
  </si>
  <si>
    <t xml:space="preserve">Buffalo City Diesel </t>
  </si>
  <si>
    <t>SRF Consulting continuing technical services</t>
  </si>
  <si>
    <t xml:space="preserve">SRF Consulting change order </t>
  </si>
  <si>
    <t>Two Rivers Printing</t>
  </si>
  <si>
    <t>JSDC Strategic Plan 2014-2017</t>
  </si>
  <si>
    <t xml:space="preserve">County </t>
  </si>
  <si>
    <t>JSDC Real Estate and Building Sales</t>
  </si>
  <si>
    <t xml:space="preserve">2013 Sales </t>
  </si>
  <si>
    <t xml:space="preserve">I/94 Business Park Lot 6 of Block 4 to Buffalo City Diesel </t>
  </si>
  <si>
    <t xml:space="preserve">Lots 1-3 of Bloom Industrial Park to Kost Materials, LLC </t>
  </si>
  <si>
    <t>Lot 4 of Bloom Industrial Park to Ambassador Steel Corporation</t>
  </si>
  <si>
    <t>* land sales are on an additional spreadsheet per Connie on March 3/2014</t>
  </si>
  <si>
    <t xml:space="preserve">Total </t>
  </si>
  <si>
    <t>Unit 2 Lunde Properties II Condominium to Great River Energy</t>
  </si>
  <si>
    <t>APUC Grant*</t>
  </si>
  <si>
    <t>* APUC grants have only been caculated since 2012</t>
  </si>
  <si>
    <t>Impact</t>
  </si>
  <si>
    <t>Buffalo City Tourism Foundation grant funding</t>
  </si>
  <si>
    <t>Buffalo City Tourism Foundation operation</t>
  </si>
  <si>
    <t>Sale Price</t>
  </si>
  <si>
    <t xml:space="preserve">Allocation </t>
  </si>
  <si>
    <t>Unit 3 Lunde Properties II Condominium to Mr. &amp; Mrs. Romsdahl</t>
  </si>
  <si>
    <t>Cavendish Farms Rail Expansion</t>
  </si>
  <si>
    <t xml:space="preserve">JSDC Website upgrade- within our operation budget JSDC completed a total upgrade to our website. Please see pageXXX for more details. </t>
  </si>
  <si>
    <t>Witts End LLC (Real Truck)</t>
  </si>
  <si>
    <t>Buchanan Ag</t>
  </si>
  <si>
    <t>D&amp;B Portables</t>
  </si>
  <si>
    <t>Jamestown Regional Airport Authority</t>
  </si>
  <si>
    <t>Custom Contracting-4 Guys</t>
  </si>
  <si>
    <t>DSA - NJTF</t>
  </si>
  <si>
    <t>DSA - Jobs Incentive Grant</t>
  </si>
  <si>
    <t>Jamestown Tourism Operation</t>
  </si>
  <si>
    <t>Jamestown Tourism Grant Fund</t>
  </si>
  <si>
    <t>2014 Projects</t>
  </si>
  <si>
    <t>JSDC Purchase of Klose Property 320A</t>
  </si>
  <si>
    <t xml:space="preserve">Marvel Homes </t>
  </si>
  <si>
    <t>Nill Construction Lot 8, Block 1</t>
  </si>
  <si>
    <t>Buffalo City Diesel</t>
  </si>
  <si>
    <t>Jamestown Row Homes (MetroPlains)</t>
  </si>
  <si>
    <t>Pesek (Ben) Properties</t>
  </si>
  <si>
    <t>JSDC Purchase Patel Lot I94</t>
  </si>
  <si>
    <t>Kal Patel Lot 1, Block 3 &amp; portion of Lot 2, Block 3</t>
  </si>
  <si>
    <t xml:space="preserve">JSDC Purchase SCDRC Share of Building </t>
  </si>
  <si>
    <t>CHS, Inc.*</t>
  </si>
  <si>
    <t xml:space="preserve">2014 Sales </t>
  </si>
  <si>
    <t>JSDC Real Estate Sales</t>
  </si>
  <si>
    <t>SEPA-Rail Spur to South JSDC</t>
  </si>
  <si>
    <t>Payroll</t>
  </si>
  <si>
    <t>*CHS, Inc. project funding 2019-2039 = $235,000 annually</t>
  </si>
  <si>
    <t>JSDC/Chamber Building Roof Replacement</t>
  </si>
  <si>
    <t>JSDC/Chamber  Building Elevator Replacement</t>
  </si>
  <si>
    <t>JSDC Partners in Marketing</t>
  </si>
  <si>
    <t>2015 Projects</t>
  </si>
  <si>
    <t>Jamestown Bus Stop</t>
  </si>
  <si>
    <t xml:space="preserve">SEPA-Automated Rail Switch Loan </t>
  </si>
  <si>
    <t>Allen Enterprises Lot 1 &amp; 1/2 Lot 2, Block 3</t>
  </si>
  <si>
    <t>Magnum, LTL. Lots 1,2,3, Block 1</t>
  </si>
  <si>
    <t>New Energy Investors</t>
  </si>
  <si>
    <t>Spiritwood Ingredients, LLC</t>
  </si>
  <si>
    <t>Red River Water</t>
  </si>
  <si>
    <t>Hometown Living, LLC</t>
  </si>
  <si>
    <t>Magnum LTL</t>
  </si>
  <si>
    <t>Witthauer Inc.</t>
  </si>
  <si>
    <t>Midmach</t>
  </si>
  <si>
    <t>Central Business Systems</t>
  </si>
  <si>
    <t>Legume Matrix</t>
  </si>
  <si>
    <t>Layered Salon</t>
  </si>
  <si>
    <t>Recycling Center of ND</t>
  </si>
  <si>
    <t>Ringdahl Inc.</t>
  </si>
  <si>
    <t>Stoudt Inc.</t>
  </si>
  <si>
    <t>JK Holdings</t>
  </si>
  <si>
    <t>Airport Industrial Park</t>
  </si>
  <si>
    <t>Jamestown Tourism</t>
  </si>
  <si>
    <t>ND Soy Processors</t>
  </si>
  <si>
    <t>Train ND</t>
  </si>
  <si>
    <t>Jamestown Regional Entrepreneurship Center</t>
  </si>
  <si>
    <t>Pass Through</t>
  </si>
  <si>
    <t>Hwy 13 One Stop Shop</t>
  </si>
  <si>
    <t>Looysen I Care</t>
  </si>
  <si>
    <t>Heartland Heating and Cooling</t>
  </si>
  <si>
    <t>Lawn Now</t>
  </si>
  <si>
    <t>Advantage Poperties</t>
  </si>
  <si>
    <t>Blu Frog Reality</t>
  </si>
  <si>
    <t>Holte Construction</t>
  </si>
  <si>
    <t>Thyssen Krupp</t>
  </si>
  <si>
    <t>2018 Projects</t>
  </si>
  <si>
    <t>Tiffanies Apiaries</t>
  </si>
  <si>
    <t>Bruins Dentistry</t>
  </si>
  <si>
    <t>CAD Properties</t>
  </si>
  <si>
    <t>Jonny B's Brickhouse</t>
  </si>
  <si>
    <t>Dale's Auto Mall</t>
  </si>
  <si>
    <t>Monte &amp; Beth Cole</t>
  </si>
  <si>
    <t>The Dental Specialist's of Jamestown</t>
  </si>
  <si>
    <t xml:space="preserve">James River Proeprty Management </t>
  </si>
  <si>
    <t>Mainsaver</t>
  </si>
  <si>
    <t xml:space="preserve">National Guard </t>
  </si>
  <si>
    <t>2019 Projects</t>
  </si>
  <si>
    <t>Black Bear Investments</t>
  </si>
  <si>
    <t>Buffalo City Park / Bison World Assessment</t>
  </si>
  <si>
    <t>Give, Get, Grow Campaign</t>
  </si>
  <si>
    <t>Reister Meats</t>
  </si>
  <si>
    <t>T&amp;K Speech Language Services</t>
  </si>
  <si>
    <t>Triple C Tree Service</t>
  </si>
  <si>
    <t>Jamestown Gymnastics Club</t>
  </si>
  <si>
    <t>Infinity Building Services</t>
  </si>
  <si>
    <t>Kramlich-Deede Meats</t>
  </si>
  <si>
    <t>Premier Ag Solutions</t>
  </si>
  <si>
    <t>2020 Projects Column=BOD Approved Projects in 2020</t>
  </si>
  <si>
    <t>This report is based on BOD approvals in 2020, NOT Actual</t>
  </si>
  <si>
    <t>Columns D through L=includes "up to" BOD Approvals</t>
  </si>
  <si>
    <t>Leverage Column=total project cost (based on Application) minus JSDC approved amount</t>
  </si>
  <si>
    <t>Engineering Spiritwood</t>
  </si>
  <si>
    <t>Center for Economic Development Improvements</t>
  </si>
  <si>
    <t>Jobs Column=current/saved FTEs plus projected New FTE's (based on Application, left blank if not completed)</t>
  </si>
  <si>
    <t xml:space="preserve">Payroll Column=current avg hourly or current avg salary (based on Application, left blank if not completed) multiplied by Jobs Column </t>
  </si>
  <si>
    <t>Approved Funding Distribution</t>
  </si>
  <si>
    <r>
      <rPr>
        <b/>
        <sz val="11"/>
        <rFont val="Calibri"/>
        <family val="2"/>
        <scheme val="minor"/>
      </rPr>
      <t>Projected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Impact</t>
    </r>
  </si>
  <si>
    <r>
      <t>Projected Annual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Payroll</t>
    </r>
  </si>
  <si>
    <t>Approved Funding Allocation</t>
  </si>
  <si>
    <t>2020 Approved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</si>
</sst>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  <numFmt numFmtId="166" formatCode="&quot;$&quot;#,##0.00"/>
    <numFmt numFmtId="167" formatCode="_([$$-409]* #,##0_);_([$$-409]* \(#,##0\);_([$$-409]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EDDAB"/>
        <bgColor indexed="64"/>
      </patternFill>
    </fill>
    <fill>
      <patternFill patternType="solid">
        <fgColor rgb="FFE3ECD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</fills>
  <borders count="10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theme="3"/>
      </right>
      <top style="medium">
        <color indexed="64"/>
      </top>
      <bottom style="medium">
        <color indexed="64"/>
      </bottom>
      <diagonal/>
    </border>
    <border>
      <left/>
      <right style="thick">
        <color theme="3"/>
      </right>
      <top style="medium">
        <color indexed="64"/>
      </top>
      <bottom/>
      <diagonal/>
    </border>
    <border>
      <left style="thin">
        <color indexed="64"/>
      </left>
      <right style="thick">
        <color theme="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theme="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5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5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theme="5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2">
    <xf numFmtId="0" fontId="0" fillId="0" borderId="0" xfId="0"/>
    <xf numFmtId="0" fontId="2" fillId="2" borderId="0" xfId="2" applyFont="1" applyFill="1"/>
    <xf numFmtId="0" fontId="3" fillId="2" borderId="0" xfId="2" applyFont="1" applyFill="1"/>
    <xf numFmtId="0" fontId="2" fillId="2" borderId="0" xfId="2" applyFont="1" applyFill="1" applyBorder="1"/>
    <xf numFmtId="0" fontId="2" fillId="2" borderId="0" xfId="2" applyNumberFormat="1" applyFont="1" applyFill="1"/>
    <xf numFmtId="0" fontId="3" fillId="2" borderId="0" xfId="2" applyNumberFormat="1" applyFont="1" applyFill="1" applyBorder="1" applyAlignment="1">
      <alignment horizontal="center"/>
    </xf>
    <xf numFmtId="44" fontId="3" fillId="2" borderId="0" xfId="3" applyFont="1" applyFill="1" applyBorder="1" applyAlignment="1">
      <alignment horizontal="center"/>
    </xf>
    <xf numFmtId="1" fontId="3" fillId="2" borderId="0" xfId="2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/>
    <xf numFmtId="164" fontId="4" fillId="0" borderId="0" xfId="3" applyNumberFormat="1" applyFont="1" applyFill="1" applyBorder="1" applyAlignment="1"/>
    <xf numFmtId="164" fontId="2" fillId="2" borderId="0" xfId="2" applyNumberFormat="1" applyFont="1" applyFill="1" applyBorder="1"/>
    <xf numFmtId="164" fontId="2" fillId="0" borderId="0" xfId="2" applyNumberFormat="1" applyFont="1" applyFill="1" applyBorder="1" applyAlignment="1"/>
    <xf numFmtId="1" fontId="2" fillId="0" borderId="0" xfId="2" applyNumberFormat="1" applyFont="1" applyFill="1" applyBorder="1" applyAlignment="1">
      <alignment horizontal="center"/>
    </xf>
    <xf numFmtId="0" fontId="2" fillId="0" borderId="0" xfId="2" applyFont="1"/>
    <xf numFmtId="0" fontId="4" fillId="0" borderId="0" xfId="2" applyFont="1"/>
    <xf numFmtId="0" fontId="4" fillId="0" borderId="0" xfId="2" applyFont="1" applyFill="1"/>
    <xf numFmtId="0" fontId="4" fillId="3" borderId="0" xfId="2" applyFont="1" applyFill="1"/>
    <xf numFmtId="164" fontId="4" fillId="3" borderId="0" xfId="3" applyNumberFormat="1" applyFont="1" applyFill="1" applyBorder="1" applyAlignment="1"/>
    <xf numFmtId="164" fontId="2" fillId="3" borderId="0" xfId="2" applyNumberFormat="1" applyFont="1" applyFill="1" applyBorder="1" applyAlignment="1"/>
    <xf numFmtId="1" fontId="2" fillId="3" borderId="0" xfId="2" applyNumberFormat="1" applyFont="1" applyFill="1" applyBorder="1" applyAlignment="1">
      <alignment horizontal="center"/>
    </xf>
    <xf numFmtId="0" fontId="2" fillId="0" borderId="1" xfId="2" applyNumberFormat="1" applyFont="1" applyFill="1" applyBorder="1" applyAlignment="1"/>
    <xf numFmtId="164" fontId="4" fillId="0" borderId="1" xfId="3" applyNumberFormat="1" applyFont="1" applyFill="1" applyBorder="1" applyAlignment="1"/>
    <xf numFmtId="164" fontId="2" fillId="2" borderId="1" xfId="2" applyNumberFormat="1" applyFont="1" applyFill="1" applyBorder="1"/>
    <xf numFmtId="0" fontId="3" fillId="0" borderId="0" xfId="2" applyNumberFormat="1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164" fontId="2" fillId="0" borderId="0" xfId="2" applyNumberFormat="1" applyFont="1" applyBorder="1"/>
    <xf numFmtId="164" fontId="3" fillId="0" borderId="0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/>
    <xf numFmtId="1" fontId="2" fillId="0" borderId="0" xfId="2" applyNumberFormat="1" applyFont="1" applyFill="1" applyBorder="1" applyAlignment="1"/>
    <xf numFmtId="0" fontId="0" fillId="4" borderId="0" xfId="0" applyFill="1"/>
    <xf numFmtId="0" fontId="3" fillId="4" borderId="0" xfId="0" applyFont="1" applyFill="1"/>
    <xf numFmtId="0" fontId="0" fillId="4" borderId="0" xfId="0" applyFill="1" applyBorder="1"/>
    <xf numFmtId="0" fontId="0" fillId="4" borderId="0" xfId="0" applyNumberFormat="1" applyFill="1"/>
    <xf numFmtId="0" fontId="3" fillId="4" borderId="0" xfId="0" applyNumberFormat="1" applyFont="1" applyFill="1" applyBorder="1" applyAlignment="1">
      <alignment horizontal="center"/>
    </xf>
    <xf numFmtId="44" fontId="3" fillId="4" borderId="0" xfId="4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64" fontId="4" fillId="0" borderId="0" xfId="4" applyNumberFormat="1" applyFont="1" applyFill="1" applyBorder="1" applyAlignment="1"/>
    <xf numFmtId="164" fontId="0" fillId="4" borderId="0" xfId="0" applyNumberFormat="1" applyFill="1" applyBorder="1"/>
    <xf numFmtId="164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64" fontId="4" fillId="0" borderId="1" xfId="4" applyNumberFormat="1" applyFont="1" applyFill="1" applyBorder="1" applyAlignment="1"/>
    <xf numFmtId="164" fontId="0" fillId="4" borderId="1" xfId="0" applyNumberFormat="1" applyFill="1" applyBorder="1"/>
    <xf numFmtId="1" fontId="4" fillId="0" borderId="1" xfId="4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4" fontId="3" fillId="0" borderId="0" xfId="4" applyNumberFormat="1" applyFont="1" applyFill="1" applyBorder="1" applyAlignment="1">
      <alignment horizontal="center"/>
    </xf>
    <xf numFmtId="164" fontId="0" fillId="0" borderId="0" xfId="0" applyNumberFormat="1" applyBorder="1"/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/>
    <xf numFmtId="164" fontId="0" fillId="0" borderId="0" xfId="0" applyNumberFormat="1"/>
    <xf numFmtId="0" fontId="5" fillId="0" borderId="0" xfId="0" applyFont="1"/>
    <xf numFmtId="44" fontId="3" fillId="4" borderId="0" xfId="1" applyFont="1" applyFill="1" applyBorder="1" applyAlignment="1">
      <alignment horizontal="center"/>
    </xf>
    <xf numFmtId="44" fontId="3" fillId="4" borderId="0" xfId="1" applyNumberFormat="1" applyFont="1" applyFill="1" applyBorder="1" applyAlignment="1" applyProtection="1">
      <alignment horizontal="center"/>
      <protection locked="0"/>
    </xf>
    <xf numFmtId="164" fontId="6" fillId="0" borderId="0" xfId="1" applyNumberFormat="1" applyFont="1" applyFill="1" applyBorder="1" applyAlignment="1"/>
    <xf numFmtId="1" fontId="0" fillId="0" borderId="0" xfId="0" applyNumberFormat="1" applyFill="1" applyBorder="1" applyAlignment="1">
      <alignment horizontal="center"/>
    </xf>
    <xf numFmtId="164" fontId="6" fillId="0" borderId="1" xfId="1" applyNumberFormat="1" applyFont="1" applyFill="1" applyBorder="1" applyAlignment="1"/>
    <xf numFmtId="1" fontId="6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applyFill="1"/>
    <xf numFmtId="44" fontId="6" fillId="0" borderId="0" xfId="1" applyFont="1"/>
    <xf numFmtId="42" fontId="6" fillId="0" borderId="0" xfId="1" applyNumberFormat="1" applyFont="1"/>
    <xf numFmtId="1" fontId="0" fillId="0" borderId="0" xfId="0" applyNumberFormat="1" applyFill="1" applyBorder="1" applyAlignment="1"/>
    <xf numFmtId="0" fontId="6" fillId="0" borderId="0" xfId="0" applyNumberFormat="1" applyFont="1" applyFill="1" applyBorder="1" applyAlignment="1"/>
    <xf numFmtId="1" fontId="6" fillId="0" borderId="1" xfId="1" applyNumberFormat="1" applyFont="1" applyFill="1" applyBorder="1" applyAlignment="1"/>
    <xf numFmtId="44" fontId="6" fillId="0" borderId="0" xfId="1" applyFont="1" applyFill="1" applyBorder="1" applyAlignment="1"/>
    <xf numFmtId="0" fontId="0" fillId="0" borderId="0" xfId="0" applyBorder="1"/>
    <xf numFmtId="0" fontId="3" fillId="5" borderId="0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/>
    <xf numFmtId="164" fontId="0" fillId="0" borderId="1" xfId="1" applyNumberFormat="1" applyFont="1" applyFill="1" applyBorder="1" applyAlignment="1"/>
    <xf numFmtId="1" fontId="0" fillId="0" borderId="1" xfId="1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4" fontId="0" fillId="0" borderId="0" xfId="1" applyFont="1" applyFill="1" applyBorder="1" applyAlignment="1"/>
    <xf numFmtId="7" fontId="0" fillId="0" borderId="0" xfId="1" applyNumberFormat="1" applyFont="1" applyFill="1" applyBorder="1" applyAlignment="1"/>
    <xf numFmtId="0" fontId="0" fillId="0" borderId="0" xfId="0" applyNumberFormat="1" applyFill="1" applyBorder="1" applyAlignment="1">
      <alignment horizontal="right"/>
    </xf>
    <xf numFmtId="44" fontId="3" fillId="4" borderId="0" xfId="1" applyFont="1" applyFill="1" applyBorder="1" applyAlignment="1" applyProtection="1">
      <alignment horizontal="center"/>
      <protection locked="0"/>
    </xf>
    <xf numFmtId="164" fontId="0" fillId="0" borderId="0" xfId="1" applyNumberFormat="1" applyFont="1"/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0" xfId="0" applyNumberFormat="1" applyFill="1"/>
    <xf numFmtId="0" fontId="0" fillId="0" borderId="1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0" applyNumberFormat="1" applyFill="1" applyBorder="1"/>
    <xf numFmtId="44" fontId="0" fillId="0" borderId="0" xfId="1" applyFo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44" fontId="3" fillId="5" borderId="0" xfId="1" applyFont="1" applyFill="1" applyBorder="1" applyAlignment="1">
      <alignment horizontal="center"/>
    </xf>
    <xf numFmtId="37" fontId="0" fillId="0" borderId="1" xfId="1" applyNumberFormat="1" applyFont="1" applyBorder="1"/>
    <xf numFmtId="0" fontId="0" fillId="0" borderId="0" xfId="0" applyNumberFormat="1"/>
    <xf numFmtId="0" fontId="0" fillId="0" borderId="0" xfId="0" applyNumberFormat="1" applyFill="1"/>
    <xf numFmtId="0" fontId="0" fillId="0" borderId="1" xfId="1" applyNumberFormat="1" applyFont="1" applyBorder="1"/>
    <xf numFmtId="0" fontId="2" fillId="2" borderId="0" xfId="2" applyFont="1" applyFill="1" applyAlignment="1">
      <alignment wrapText="1"/>
    </xf>
    <xf numFmtId="164" fontId="4" fillId="0" borderId="0" xfId="3" applyNumberFormat="1" applyFont="1" applyFill="1" applyBorder="1" applyAlignment="1">
      <alignment wrapText="1"/>
    </xf>
    <xf numFmtId="164" fontId="4" fillId="3" borderId="0" xfId="3" applyNumberFormat="1" applyFont="1" applyFill="1" applyBorder="1" applyAlignment="1">
      <alignment wrapText="1"/>
    </xf>
    <xf numFmtId="164" fontId="4" fillId="0" borderId="1" xfId="3" applyNumberFormat="1" applyFont="1" applyFill="1" applyBorder="1" applyAlignment="1">
      <alignment wrapText="1"/>
    </xf>
    <xf numFmtId="0" fontId="0" fillId="0" borderId="0" xfId="0" applyAlignment="1">
      <alignment wrapText="1"/>
    </xf>
    <xf numFmtId="44" fontId="3" fillId="2" borderId="0" xfId="3" applyNumberFormat="1" applyFont="1" applyFill="1" applyBorder="1" applyAlignment="1" applyProtection="1">
      <alignment horizontal="center" wrapText="1"/>
      <protection locked="0"/>
    </xf>
    <xf numFmtId="165" fontId="2" fillId="2" borderId="0" xfId="2" applyNumberFormat="1" applyFont="1" applyFill="1"/>
    <xf numFmtId="165" fontId="3" fillId="2" borderId="0" xfId="3" applyNumberFormat="1" applyFont="1" applyFill="1" applyBorder="1" applyAlignment="1">
      <alignment horizontal="center"/>
    </xf>
    <xf numFmtId="165" fontId="4" fillId="0" borderId="0" xfId="3" applyNumberFormat="1" applyFont="1" applyFill="1" applyBorder="1" applyAlignment="1"/>
    <xf numFmtId="165" fontId="2" fillId="0" borderId="0" xfId="2" applyNumberFormat="1" applyFont="1" applyFill="1" applyBorder="1" applyAlignment="1">
      <alignment horizontal="center"/>
    </xf>
    <xf numFmtId="165" fontId="4" fillId="0" borderId="1" xfId="3" applyNumberFormat="1" applyFont="1" applyFill="1" applyBorder="1" applyAlignment="1"/>
    <xf numFmtId="165" fontId="0" fillId="0" borderId="0" xfId="0" applyNumberFormat="1"/>
    <xf numFmtId="0" fontId="0" fillId="4" borderId="0" xfId="0" applyFill="1" applyAlignment="1">
      <alignment wrapText="1"/>
    </xf>
    <xf numFmtId="44" fontId="3" fillId="4" borderId="0" xfId="1" applyNumberFormat="1" applyFont="1" applyFill="1" applyBorder="1" applyAlignment="1" applyProtection="1">
      <alignment horizontal="center" wrapText="1"/>
      <protection locked="0"/>
    </xf>
    <xf numFmtId="164" fontId="6" fillId="0" borderId="0" xfId="1" applyNumberFormat="1" applyFont="1" applyFill="1" applyBorder="1" applyAlignment="1">
      <alignment wrapText="1"/>
    </xf>
    <xf numFmtId="164" fontId="6" fillId="0" borderId="1" xfId="1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horizontal="center" wrapText="1"/>
    </xf>
    <xf numFmtId="7" fontId="6" fillId="0" borderId="0" xfId="1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44" fontId="3" fillId="4" borderId="0" xfId="4" applyNumberFormat="1" applyFont="1" applyFill="1" applyBorder="1" applyAlignment="1" applyProtection="1">
      <alignment horizontal="center" wrapText="1"/>
      <protection locked="0"/>
    </xf>
    <xf numFmtId="164" fontId="4" fillId="0" borderId="0" xfId="4" applyNumberFormat="1" applyFont="1" applyFill="1" applyBorder="1" applyAlignment="1">
      <alignment wrapText="1"/>
    </xf>
    <xf numFmtId="164" fontId="4" fillId="0" borderId="1" xfId="4" applyNumberFormat="1" applyFont="1" applyFill="1" applyBorder="1" applyAlignment="1">
      <alignment wrapText="1"/>
    </xf>
    <xf numFmtId="164" fontId="3" fillId="0" borderId="0" xfId="4" applyNumberFormat="1" applyFont="1" applyFill="1" applyBorder="1" applyAlignment="1">
      <alignment horizontal="center" wrapText="1"/>
    </xf>
    <xf numFmtId="164" fontId="3" fillId="0" borderId="0" xfId="3" applyNumberFormat="1" applyFont="1" applyFill="1" applyBorder="1" applyAlignment="1">
      <alignment horizontal="center" wrapText="1"/>
    </xf>
    <xf numFmtId="1" fontId="0" fillId="0" borderId="0" xfId="0" applyNumberFormat="1"/>
    <xf numFmtId="1" fontId="4" fillId="0" borderId="1" xfId="3" applyNumberFormat="1" applyFont="1" applyFill="1" applyBorder="1" applyAlignment="1"/>
    <xf numFmtId="166" fontId="3" fillId="2" borderId="0" xfId="3" applyNumberFormat="1" applyFont="1" applyFill="1" applyBorder="1" applyAlignment="1">
      <alignment horizontal="center"/>
    </xf>
    <xf numFmtId="166" fontId="4" fillId="0" borderId="0" xfId="3" applyNumberFormat="1" applyFont="1" applyFill="1" applyBorder="1" applyAlignment="1"/>
    <xf numFmtId="166" fontId="2" fillId="0" borderId="0" xfId="2" applyNumberFormat="1" applyFont="1"/>
    <xf numFmtId="166" fontId="4" fillId="0" borderId="1" xfId="3" applyNumberFormat="1" applyFont="1" applyFill="1" applyBorder="1" applyAlignment="1"/>
    <xf numFmtId="166" fontId="0" fillId="0" borderId="0" xfId="0" applyNumberFormat="1"/>
    <xf numFmtId="166" fontId="2" fillId="2" borderId="0" xfId="2" applyNumberFormat="1" applyFont="1" applyFill="1" applyAlignment="1">
      <alignment wrapText="1"/>
    </xf>
    <xf numFmtId="166" fontId="3" fillId="2" borderId="0" xfId="3" applyNumberFormat="1" applyFont="1" applyFill="1" applyBorder="1" applyAlignment="1" applyProtection="1">
      <alignment horizontal="center" wrapText="1"/>
      <protection locked="0"/>
    </xf>
    <xf numFmtId="166" fontId="4" fillId="0" borderId="0" xfId="3" applyNumberFormat="1" applyFont="1" applyFill="1" applyBorder="1" applyAlignment="1">
      <alignment wrapText="1"/>
    </xf>
    <xf numFmtId="166" fontId="4" fillId="0" borderId="1" xfId="3" applyNumberFormat="1" applyFont="1" applyFill="1" applyBorder="1" applyAlignment="1">
      <alignment wrapText="1"/>
    </xf>
    <xf numFmtId="166" fontId="0" fillId="0" borderId="0" xfId="0" applyNumberFormat="1" applyAlignment="1">
      <alignment wrapText="1"/>
    </xf>
    <xf numFmtId="166" fontId="3" fillId="2" borderId="3" xfId="2" applyNumberFormat="1" applyFont="1" applyFill="1" applyBorder="1"/>
    <xf numFmtId="166" fontId="2" fillId="2" borderId="3" xfId="2" applyNumberFormat="1" applyFont="1" applyFill="1" applyBorder="1"/>
    <xf numFmtId="0" fontId="2" fillId="2" borderId="3" xfId="2" applyFont="1" applyFill="1" applyBorder="1"/>
    <xf numFmtId="0" fontId="3" fillId="2" borderId="3" xfId="2" applyFont="1" applyFill="1" applyBorder="1"/>
    <xf numFmtId="167" fontId="4" fillId="0" borderId="0" xfId="3" applyNumberFormat="1" applyFont="1" applyFill="1" applyBorder="1" applyAlignment="1"/>
    <xf numFmtId="1" fontId="3" fillId="2" borderId="0" xfId="2" applyNumberFormat="1" applyFont="1" applyFill="1" applyBorder="1" applyAlignment="1">
      <alignment horizontal="right"/>
    </xf>
    <xf numFmtId="1" fontId="2" fillId="0" borderId="0" xfId="2" applyNumberFormat="1" applyFont="1" applyFill="1" applyBorder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0" xfId="0"/>
    <xf numFmtId="166" fontId="0" fillId="0" borderId="5" xfId="0" applyNumberFormat="1" applyFill="1" applyBorder="1"/>
    <xf numFmtId="0" fontId="0" fillId="0" borderId="9" xfId="0" applyFill="1" applyBorder="1"/>
    <xf numFmtId="0" fontId="0" fillId="0" borderId="10" xfId="0" applyFill="1" applyBorder="1"/>
    <xf numFmtId="166" fontId="0" fillId="0" borderId="7" xfId="0" applyNumberFormat="1" applyFill="1" applyBorder="1" applyAlignment="1">
      <alignment horizontal="center"/>
    </xf>
    <xf numFmtId="166" fontId="0" fillId="0" borderId="0" xfId="0" applyNumberFormat="1" applyBorder="1"/>
    <xf numFmtId="166" fontId="0" fillId="0" borderId="19" xfId="0" applyNumberFormat="1" applyFill="1" applyBorder="1"/>
    <xf numFmtId="0" fontId="0" fillId="0" borderId="19" xfId="0" applyFill="1" applyBorder="1"/>
    <xf numFmtId="166" fontId="0" fillId="0" borderId="22" xfId="0" applyNumberFormat="1" applyFill="1" applyBorder="1"/>
    <xf numFmtId="166" fontId="0" fillId="0" borderId="4" xfId="0" applyNumberFormat="1" applyFill="1" applyBorder="1"/>
    <xf numFmtId="166" fontId="0" fillId="0" borderId="29" xfId="0" applyNumberFormat="1" applyFill="1" applyBorder="1"/>
    <xf numFmtId="0" fontId="0" fillId="0" borderId="33" xfId="0" applyBorder="1"/>
    <xf numFmtId="0" fontId="0" fillId="0" borderId="21" xfId="0" applyBorder="1"/>
    <xf numFmtId="0" fontId="0" fillId="0" borderId="6" xfId="0" applyFill="1" applyBorder="1" applyAlignment="1">
      <alignment horizontal="left"/>
    </xf>
    <xf numFmtId="166" fontId="0" fillId="0" borderId="28" xfId="0" applyNumberFormat="1" applyFill="1" applyBorder="1" applyAlignment="1">
      <alignment horizontal="center"/>
    </xf>
    <xf numFmtId="166" fontId="0" fillId="0" borderId="25" xfId="0" applyNumberFormat="1" applyFill="1" applyBorder="1" applyAlignment="1">
      <alignment horizontal="center"/>
    </xf>
    <xf numFmtId="166" fontId="0" fillId="0" borderId="23" xfId="0" applyNumberFormat="1" applyFill="1" applyBorder="1" applyAlignment="1">
      <alignment horizontal="center"/>
    </xf>
    <xf numFmtId="166" fontId="0" fillId="0" borderId="1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8" borderId="9" xfId="0" applyFill="1" applyBorder="1"/>
    <xf numFmtId="166" fontId="0" fillId="8" borderId="5" xfId="0" applyNumberFormat="1" applyFill="1" applyBorder="1"/>
    <xf numFmtId="166" fontId="0" fillId="8" borderId="29" xfId="0" applyNumberFormat="1" applyFill="1" applyBorder="1"/>
    <xf numFmtId="166" fontId="0" fillId="8" borderId="4" xfId="0" applyNumberFormat="1" applyFill="1" applyBorder="1"/>
    <xf numFmtId="166" fontId="0" fillId="8" borderId="22" xfId="0" applyNumberFormat="1" applyFill="1" applyBorder="1"/>
    <xf numFmtId="166" fontId="0" fillId="8" borderId="19" xfId="0" applyNumberFormat="1" applyFill="1" applyBorder="1"/>
    <xf numFmtId="0" fontId="0" fillId="8" borderId="10" xfId="0" applyFill="1" applyBorder="1"/>
    <xf numFmtId="0" fontId="7" fillId="8" borderId="13" xfId="0" applyFont="1" applyFill="1" applyBorder="1"/>
    <xf numFmtId="0" fontId="7" fillId="0" borderId="14" xfId="0" applyFont="1" applyBorder="1" applyAlignment="1">
      <alignment horizontal="center"/>
    </xf>
    <xf numFmtId="0" fontId="8" fillId="0" borderId="5" xfId="0" applyFont="1" applyBorder="1"/>
    <xf numFmtId="0" fontId="0" fillId="0" borderId="39" xfId="0" applyBorder="1"/>
    <xf numFmtId="0" fontId="0" fillId="0" borderId="20" xfId="0" applyBorder="1"/>
    <xf numFmtId="0" fontId="0" fillId="0" borderId="40" xfId="0" applyBorder="1"/>
    <xf numFmtId="0" fontId="0" fillId="8" borderId="40" xfId="0" applyFill="1" applyBorder="1"/>
    <xf numFmtId="0" fontId="7" fillId="8" borderId="3" xfId="0" applyFont="1" applyFill="1" applyBorder="1"/>
    <xf numFmtId="0" fontId="7" fillId="8" borderId="32" xfId="0" applyFont="1" applyFill="1" applyBorder="1"/>
    <xf numFmtId="0" fontId="10" fillId="9" borderId="0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37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 wrapText="1"/>
    </xf>
    <xf numFmtId="0" fontId="10" fillId="10" borderId="36" xfId="0" applyFont="1" applyFill="1" applyBorder="1" applyAlignment="1">
      <alignment horizontal="center"/>
    </xf>
    <xf numFmtId="1" fontId="0" fillId="0" borderId="17" xfId="0" applyNumberFormat="1" applyBorder="1"/>
    <xf numFmtId="44" fontId="11" fillId="6" borderId="38" xfId="1" applyFont="1" applyFill="1" applyBorder="1" applyAlignment="1">
      <alignment horizontal="center"/>
    </xf>
    <xf numFmtId="44" fontId="11" fillId="6" borderId="36" xfId="1" applyFont="1" applyFill="1" applyBorder="1" applyAlignment="1">
      <alignment horizontal="center"/>
    </xf>
    <xf numFmtId="44" fontId="11" fillId="6" borderId="11" xfId="1" applyNumberFormat="1" applyFont="1" applyFill="1" applyBorder="1" applyAlignment="1" applyProtection="1">
      <alignment horizontal="center" wrapText="1"/>
      <protection locked="0"/>
    </xf>
    <xf numFmtId="44" fontId="11" fillId="6" borderId="16" xfId="1" applyFont="1" applyFill="1" applyBorder="1" applyAlignment="1">
      <alignment horizontal="center"/>
    </xf>
    <xf numFmtId="0" fontId="11" fillId="6" borderId="11" xfId="0" applyNumberFormat="1" applyFont="1" applyFill="1" applyBorder="1" applyAlignment="1">
      <alignment horizontal="center"/>
    </xf>
    <xf numFmtId="0" fontId="11" fillId="6" borderId="12" xfId="0" applyNumberFormat="1" applyFont="1" applyFill="1" applyBorder="1" applyAlignment="1">
      <alignment horizontal="center"/>
    </xf>
    <xf numFmtId="7" fontId="0" fillId="0" borderId="11" xfId="0" applyNumberFormat="1" applyBorder="1"/>
    <xf numFmtId="7" fontId="0" fillId="0" borderId="16" xfId="0" applyNumberFormat="1" applyBorder="1"/>
    <xf numFmtId="7" fontId="0" fillId="7" borderId="41" xfId="0" applyNumberFormat="1" applyFill="1" applyBorder="1"/>
    <xf numFmtId="7" fontId="0" fillId="0" borderId="0" xfId="0" applyNumberFormat="1"/>
    <xf numFmtId="7" fontId="0" fillId="0" borderId="36" xfId="0" applyNumberFormat="1" applyBorder="1"/>
    <xf numFmtId="44" fontId="11" fillId="6" borderId="42" xfId="1" applyFont="1" applyFill="1" applyBorder="1" applyAlignment="1">
      <alignment horizontal="center"/>
    </xf>
    <xf numFmtId="166" fontId="0" fillId="0" borderId="39" xfId="0" applyNumberFormat="1" applyBorder="1"/>
    <xf numFmtId="0" fontId="7" fillId="8" borderId="17" xfId="0" applyFont="1" applyFill="1" applyBorder="1"/>
    <xf numFmtId="166" fontId="7" fillId="0" borderId="21" xfId="0" applyNumberFormat="1" applyFont="1" applyFill="1" applyBorder="1"/>
    <xf numFmtId="166" fontId="12" fillId="8" borderId="13" xfId="0" applyNumberFormat="1" applyFont="1" applyFill="1" applyBorder="1"/>
    <xf numFmtId="166" fontId="12" fillId="0" borderId="13" xfId="0" applyNumberFormat="1" applyFont="1" applyBorder="1" applyAlignment="1">
      <alignment horizontal="center"/>
    </xf>
    <xf numFmtId="166" fontId="12" fillId="0" borderId="26" xfId="0" applyNumberFormat="1" applyFont="1" applyBorder="1" applyAlignment="1">
      <alignment horizontal="center"/>
    </xf>
    <xf numFmtId="166" fontId="12" fillId="0" borderId="21" xfId="0" applyNumberFormat="1" applyFont="1" applyBorder="1" applyAlignment="1">
      <alignment horizontal="center"/>
    </xf>
    <xf numFmtId="166" fontId="12" fillId="0" borderId="37" xfId="0" applyNumberFormat="1" applyFont="1" applyBorder="1" applyAlignment="1">
      <alignment horizontal="center"/>
    </xf>
    <xf numFmtId="166" fontId="12" fillId="0" borderId="15" xfId="0" applyNumberFormat="1" applyFont="1" applyBorder="1" applyAlignment="1">
      <alignment horizontal="center"/>
    </xf>
    <xf numFmtId="166" fontId="12" fillId="0" borderId="11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6" borderId="6" xfId="0" applyNumberFormat="1" applyFont="1" applyFill="1" applyBorder="1" applyAlignment="1">
      <alignment horizontal="center"/>
    </xf>
    <xf numFmtId="0" fontId="7" fillId="0" borderId="43" xfId="0" applyFont="1" applyBorder="1"/>
    <xf numFmtId="0" fontId="7" fillId="7" borderId="44" xfId="0" applyFont="1" applyFill="1" applyBorder="1"/>
    <xf numFmtId="44" fontId="11" fillId="11" borderId="16" xfId="1" applyFont="1" applyFill="1" applyBorder="1" applyAlignment="1">
      <alignment horizontal="center"/>
    </xf>
    <xf numFmtId="166" fontId="0" fillId="0" borderId="3" xfId="0" applyNumberFormat="1" applyFill="1" applyBorder="1"/>
    <xf numFmtId="0" fontId="0" fillId="8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7" fillId="0" borderId="5" xfId="0" applyFont="1" applyFill="1" applyBorder="1"/>
    <xf numFmtId="0" fontId="0" fillId="0" borderId="6" xfId="0" applyFill="1" applyBorder="1"/>
    <xf numFmtId="0" fontId="13" fillId="0" borderId="0" xfId="0" applyFont="1"/>
    <xf numFmtId="166" fontId="0" fillId="8" borderId="25" xfId="0" applyNumberFormat="1" applyFill="1" applyBorder="1" applyAlignment="1">
      <alignment horizontal="center"/>
    </xf>
    <xf numFmtId="0" fontId="0" fillId="8" borderId="53" xfId="0" applyFill="1" applyBorder="1" applyAlignment="1">
      <alignment horizontal="right"/>
    </xf>
    <xf numFmtId="0" fontId="0" fillId="0" borderId="54" xfId="0" applyFill="1" applyBorder="1" applyAlignment="1">
      <alignment horizontal="right"/>
    </xf>
    <xf numFmtId="0" fontId="0" fillId="8" borderId="55" xfId="0" applyFill="1" applyBorder="1" applyAlignment="1">
      <alignment horizontal="right"/>
    </xf>
    <xf numFmtId="166" fontId="10" fillId="8" borderId="0" xfId="0" applyNumberFormat="1" applyFont="1" applyFill="1" applyBorder="1" applyAlignment="1">
      <alignment horizontal="center"/>
    </xf>
    <xf numFmtId="166" fontId="10" fillId="8" borderId="50" xfId="0" applyNumberFormat="1" applyFont="1" applyFill="1" applyBorder="1" applyAlignment="1">
      <alignment horizontal="center"/>
    </xf>
    <xf numFmtId="166" fontId="10" fillId="8" borderId="51" xfId="0" applyNumberFormat="1" applyFont="1" applyFill="1" applyBorder="1" applyAlignment="1">
      <alignment horizontal="center"/>
    </xf>
    <xf numFmtId="0" fontId="10" fillId="8" borderId="56" xfId="0" applyFont="1" applyFill="1" applyBorder="1" applyAlignment="1">
      <alignment horizontal="center"/>
    </xf>
    <xf numFmtId="0" fontId="7" fillId="0" borderId="47" xfId="0" applyFont="1" applyBorder="1"/>
    <xf numFmtId="0" fontId="7" fillId="0" borderId="21" xfId="0" applyFont="1" applyFill="1" applyBorder="1"/>
    <xf numFmtId="166" fontId="10" fillId="8" borderId="57" xfId="0" applyNumberFormat="1" applyFont="1" applyFill="1" applyBorder="1"/>
    <xf numFmtId="166" fontId="0" fillId="8" borderId="9" xfId="0" applyNumberFormat="1" applyFill="1" applyBorder="1"/>
    <xf numFmtId="166" fontId="0" fillId="0" borderId="9" xfId="0" applyNumberFormat="1" applyBorder="1"/>
    <xf numFmtId="166" fontId="0" fillId="0" borderId="19" xfId="0" applyNumberFormat="1" applyBorder="1"/>
    <xf numFmtId="166" fontId="0" fillId="0" borderId="2" xfId="0" applyNumberFormat="1" applyBorder="1"/>
    <xf numFmtId="0" fontId="0" fillId="0" borderId="58" xfId="0" applyFill="1" applyBorder="1" applyAlignment="1">
      <alignment horizontal="right"/>
    </xf>
    <xf numFmtId="0" fontId="10" fillId="10" borderId="60" xfId="0" applyFont="1" applyFill="1" applyBorder="1" applyAlignment="1">
      <alignment horizontal="center"/>
    </xf>
    <xf numFmtId="166" fontId="0" fillId="8" borderId="10" xfId="0" applyNumberFormat="1" applyFill="1" applyBorder="1"/>
    <xf numFmtId="166" fontId="0" fillId="0" borderId="10" xfId="0" applyNumberFormat="1" applyBorder="1"/>
    <xf numFmtId="166" fontId="0" fillId="0" borderId="10" xfId="0" applyNumberFormat="1" applyFill="1" applyBorder="1"/>
    <xf numFmtId="166" fontId="0" fillId="0" borderId="58" xfId="0" applyNumberFormat="1" applyBorder="1"/>
    <xf numFmtId="166" fontId="7" fillId="8" borderId="63" xfId="0" applyNumberFormat="1" applyFont="1" applyFill="1" applyBorder="1"/>
    <xf numFmtId="166" fontId="7" fillId="8" borderId="62" xfId="0" applyNumberFormat="1" applyFont="1" applyFill="1" applyBorder="1"/>
    <xf numFmtId="0" fontId="10" fillId="10" borderId="64" xfId="0" applyFont="1" applyFill="1" applyBorder="1" applyAlignment="1">
      <alignment horizontal="center"/>
    </xf>
    <xf numFmtId="0" fontId="0" fillId="8" borderId="33" xfId="0" applyFill="1" applyBorder="1"/>
    <xf numFmtId="0" fontId="0" fillId="0" borderId="9" xfId="0" applyFill="1" applyBorder="1" applyAlignment="1">
      <alignment horizontal="left"/>
    </xf>
    <xf numFmtId="0" fontId="7" fillId="8" borderId="34" xfId="0" applyFont="1" applyFill="1" applyBorder="1" applyAlignment="1">
      <alignment horizontal="center"/>
    </xf>
    <xf numFmtId="166" fontId="10" fillId="8" borderId="66" xfId="0" applyNumberFormat="1" applyFont="1" applyFill="1" applyBorder="1" applyAlignment="1">
      <alignment horizontal="center"/>
    </xf>
    <xf numFmtId="166" fontId="0" fillId="8" borderId="59" xfId="0" applyNumberFormat="1" applyFill="1" applyBorder="1"/>
    <xf numFmtId="166" fontId="0" fillId="8" borderId="8" xfId="0" applyNumberFormat="1" applyFill="1" applyBorder="1"/>
    <xf numFmtId="166" fontId="7" fillId="0" borderId="32" xfId="0" applyNumberFormat="1" applyFont="1" applyBorder="1"/>
    <xf numFmtId="166" fontId="7" fillId="0" borderId="48" xfId="0" applyNumberFormat="1" applyFont="1" applyBorder="1"/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0" fillId="0" borderId="24" xfId="0" applyFill="1" applyBorder="1"/>
    <xf numFmtId="166" fontId="0" fillId="0" borderId="24" xfId="0" applyNumberFormat="1" applyBorder="1"/>
    <xf numFmtId="0" fontId="9" fillId="11" borderId="67" xfId="0" applyFont="1" applyFill="1" applyBorder="1" applyAlignment="1">
      <alignment vertical="top"/>
    </xf>
    <xf numFmtId="44" fontId="11" fillId="6" borderId="64" xfId="1" applyFont="1" applyFill="1" applyBorder="1" applyAlignment="1">
      <alignment horizontal="center"/>
    </xf>
    <xf numFmtId="7" fontId="0" fillId="11" borderId="67" xfId="0" applyNumberFormat="1" applyFill="1" applyBorder="1"/>
    <xf numFmtId="7" fontId="0" fillId="0" borderId="21" xfId="0" applyNumberFormat="1" applyFill="1" applyBorder="1"/>
    <xf numFmtId="7" fontId="0" fillId="7" borderId="68" xfId="0" applyNumberFormat="1" applyFill="1" applyBorder="1"/>
    <xf numFmtId="166" fontId="0" fillId="8" borderId="7" xfId="0" applyNumberFormat="1" applyFill="1" applyBorder="1" applyAlignment="1">
      <alignment horizontal="right"/>
    </xf>
    <xf numFmtId="166" fontId="0" fillId="0" borderId="47" xfId="0" applyNumberFormat="1" applyFill="1" applyBorder="1" applyAlignment="1">
      <alignment horizontal="right"/>
    </xf>
    <xf numFmtId="166" fontId="0" fillId="8" borderId="5" xfId="0" applyNumberFormat="1" applyFill="1" applyBorder="1" applyAlignment="1">
      <alignment horizontal="right"/>
    </xf>
    <xf numFmtId="166" fontId="0" fillId="0" borderId="5" xfId="0" applyNumberFormat="1" applyFill="1" applyBorder="1" applyAlignment="1">
      <alignment horizontal="right"/>
    </xf>
    <xf numFmtId="166" fontId="0" fillId="0" borderId="52" xfId="0" applyNumberFormat="1" applyFill="1" applyBorder="1" applyAlignment="1">
      <alignment horizontal="right"/>
    </xf>
    <xf numFmtId="166" fontId="0" fillId="8" borderId="6" xfId="0" applyNumberFormat="1" applyFill="1" applyBorder="1" applyAlignment="1">
      <alignment horizontal="right"/>
    </xf>
    <xf numFmtId="166" fontId="0" fillId="8" borderId="18" xfId="0" applyNumberFormat="1" applyFill="1" applyBorder="1" applyAlignment="1">
      <alignment horizontal="right"/>
    </xf>
    <xf numFmtId="166" fontId="0" fillId="0" borderId="59" xfId="0" applyNumberFormat="1" applyFill="1" applyBorder="1" applyAlignment="1">
      <alignment horizontal="right"/>
    </xf>
    <xf numFmtId="166" fontId="0" fillId="0" borderId="32" xfId="0" applyNumberFormat="1" applyFill="1" applyBorder="1" applyAlignment="1">
      <alignment horizontal="right"/>
    </xf>
    <xf numFmtId="166" fontId="0" fillId="8" borderId="9" xfId="0" applyNumberFormat="1" applyFill="1" applyBorder="1" applyAlignment="1">
      <alignment horizontal="right"/>
    </xf>
    <xf numFmtId="166" fontId="0" fillId="8" borderId="19" xfId="0" applyNumberFormat="1" applyFill="1" applyBorder="1" applyAlignment="1">
      <alignment horizontal="right"/>
    </xf>
    <xf numFmtId="166" fontId="0" fillId="0" borderId="9" xfId="0" applyNumberFormat="1" applyFill="1" applyBorder="1" applyAlignment="1">
      <alignment horizontal="right"/>
    </xf>
    <xf numFmtId="166" fontId="0" fillId="0" borderId="19" xfId="0" applyNumberForma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166" fontId="0" fillId="0" borderId="65" xfId="0" applyNumberFormat="1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166" fontId="0" fillId="8" borderId="10" xfId="0" applyNumberFormat="1" applyFill="1" applyBorder="1" applyAlignment="1">
      <alignment horizontal="right"/>
    </xf>
    <xf numFmtId="166" fontId="0" fillId="0" borderId="10" xfId="0" applyNumberFormat="1" applyBorder="1" applyAlignment="1">
      <alignment horizontal="right"/>
    </xf>
    <xf numFmtId="166" fontId="0" fillId="8" borderId="58" xfId="0" applyNumberFormat="1" applyFill="1" applyBorder="1" applyAlignment="1">
      <alignment horizontal="right"/>
    </xf>
    <xf numFmtId="166" fontId="0" fillId="0" borderId="19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166" fontId="0" fillId="8" borderId="2" xfId="0" applyNumberFormat="1" applyFill="1" applyBorder="1" applyAlignment="1">
      <alignment horizontal="right"/>
    </xf>
    <xf numFmtId="166" fontId="0" fillId="8" borderId="52" xfId="0" applyNumberFormat="1" applyFill="1" applyBorder="1" applyAlignment="1">
      <alignment horizontal="right"/>
    </xf>
    <xf numFmtId="0" fontId="7" fillId="0" borderId="54" xfId="0" applyFont="1" applyBorder="1" applyAlignment="1">
      <alignment horizontal="center"/>
    </xf>
    <xf numFmtId="166" fontId="0" fillId="8" borderId="55" xfId="0" applyNumberFormat="1" applyFill="1" applyBorder="1" applyAlignment="1">
      <alignment horizontal="right"/>
    </xf>
    <xf numFmtId="166" fontId="0" fillId="0" borderId="55" xfId="0" applyNumberFormat="1" applyBorder="1" applyAlignment="1">
      <alignment horizontal="right"/>
    </xf>
    <xf numFmtId="166" fontId="10" fillId="8" borderId="49" xfId="0" applyNumberFormat="1" applyFont="1" applyFill="1" applyBorder="1" applyAlignment="1">
      <alignment horizontal="right"/>
    </xf>
    <xf numFmtId="166" fontId="10" fillId="8" borderId="30" xfId="0" applyNumberFormat="1" applyFont="1" applyFill="1" applyBorder="1" applyAlignment="1">
      <alignment horizontal="right"/>
    </xf>
    <xf numFmtId="166" fontId="0" fillId="0" borderId="1" xfId="0" applyNumberFormat="1" applyFill="1" applyBorder="1" applyAlignment="1">
      <alignment horizontal="center"/>
    </xf>
    <xf numFmtId="0" fontId="10" fillId="10" borderId="69" xfId="0" applyFont="1" applyFill="1" applyBorder="1" applyAlignment="1">
      <alignment horizontal="center"/>
    </xf>
    <xf numFmtId="166" fontId="0" fillId="8" borderId="8" xfId="0" applyNumberFormat="1" applyFill="1" applyBorder="1" applyAlignment="1">
      <alignment horizontal="right"/>
    </xf>
    <xf numFmtId="166" fontId="0" fillId="0" borderId="48" xfId="0" applyNumberFormat="1" applyFill="1" applyBorder="1" applyAlignment="1">
      <alignment horizontal="right"/>
    </xf>
    <xf numFmtId="166" fontId="0" fillId="0" borderId="10" xfId="0" applyNumberFormat="1" applyFill="1" applyBorder="1" applyAlignment="1">
      <alignment horizontal="right"/>
    </xf>
    <xf numFmtId="166" fontId="0" fillId="0" borderId="58" xfId="0" applyNumberFormat="1" applyFill="1" applyBorder="1" applyAlignment="1">
      <alignment horizontal="right"/>
    </xf>
    <xf numFmtId="166" fontId="10" fillId="8" borderId="35" xfId="0" applyNumberFormat="1" applyFont="1" applyFill="1" applyBorder="1" applyAlignment="1">
      <alignment horizontal="right"/>
    </xf>
    <xf numFmtId="166" fontId="7" fillId="0" borderId="54" xfId="0" applyNumberFormat="1" applyFont="1" applyBorder="1"/>
    <xf numFmtId="0" fontId="0" fillId="0" borderId="0" xfId="0" applyFill="1" applyBorder="1"/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6" fontId="7" fillId="0" borderId="59" xfId="0" applyNumberFormat="1" applyFont="1" applyBorder="1"/>
    <xf numFmtId="0" fontId="10" fillId="10" borderId="17" xfId="0" applyFont="1" applyFill="1" applyBorder="1" applyAlignment="1">
      <alignment horizontal="center"/>
    </xf>
    <xf numFmtId="166" fontId="10" fillId="8" borderId="13" xfId="0" applyNumberFormat="1" applyFont="1" applyFill="1" applyBorder="1"/>
    <xf numFmtId="0" fontId="0" fillId="0" borderId="5" xfId="0" applyBorder="1"/>
    <xf numFmtId="0" fontId="0" fillId="0" borderId="5" xfId="0" applyFill="1" applyBorder="1"/>
    <xf numFmtId="166" fontId="0" fillId="0" borderId="73" xfId="0" applyNumberFormat="1" applyBorder="1"/>
    <xf numFmtId="0" fontId="0" fillId="8" borderId="59" xfId="0" applyFill="1" applyBorder="1"/>
    <xf numFmtId="166" fontId="0" fillId="8" borderId="3" xfId="0" applyNumberFormat="1" applyFill="1" applyBorder="1" applyAlignment="1">
      <alignment horizontal="right"/>
    </xf>
    <xf numFmtId="166" fontId="0" fillId="8" borderId="59" xfId="0" applyNumberFormat="1" applyFill="1" applyBorder="1" applyAlignment="1">
      <alignment horizontal="right"/>
    </xf>
    <xf numFmtId="166" fontId="0" fillId="8" borderId="32" xfId="0" applyNumberFormat="1" applyFill="1" applyBorder="1" applyAlignment="1">
      <alignment horizontal="right"/>
    </xf>
    <xf numFmtId="166" fontId="0" fillId="8" borderId="47" xfId="0" applyNumberFormat="1" applyFill="1" applyBorder="1" applyAlignment="1">
      <alignment horizontal="right"/>
    </xf>
    <xf numFmtId="0" fontId="0" fillId="8" borderId="71" xfId="0" applyFill="1" applyBorder="1" applyAlignment="1">
      <alignment horizontal="right"/>
    </xf>
    <xf numFmtId="166" fontId="10" fillId="8" borderId="43" xfId="0" applyNumberFormat="1" applyFont="1" applyFill="1" applyBorder="1" applyAlignment="1">
      <alignment horizontal="center"/>
    </xf>
    <xf numFmtId="0" fontId="10" fillId="8" borderId="43" xfId="0" applyNumberFormat="1" applyFont="1" applyFill="1" applyBorder="1" applyAlignment="1">
      <alignment horizontal="center"/>
    </xf>
    <xf numFmtId="0" fontId="0" fillId="3" borderId="33" xfId="0" applyFill="1" applyBorder="1"/>
    <xf numFmtId="166" fontId="0" fillId="3" borderId="7" xfId="0" applyNumberFormat="1" applyFill="1" applyBorder="1" applyAlignment="1">
      <alignment horizontal="right"/>
    </xf>
    <xf numFmtId="166" fontId="0" fillId="3" borderId="8" xfId="0" applyNumberFormat="1" applyFill="1" applyBorder="1" applyAlignment="1">
      <alignment horizontal="right"/>
    </xf>
    <xf numFmtId="166" fontId="0" fillId="3" borderId="6" xfId="0" applyNumberFormat="1" applyFill="1" applyBorder="1" applyAlignment="1">
      <alignment horizontal="right"/>
    </xf>
    <xf numFmtId="166" fontId="0" fillId="3" borderId="18" xfId="0" applyNumberFormat="1" applyFill="1" applyBorder="1" applyAlignment="1">
      <alignment horizontal="right"/>
    </xf>
    <xf numFmtId="0" fontId="0" fillId="3" borderId="53" xfId="0" applyFill="1" applyBorder="1" applyAlignment="1">
      <alignment horizontal="right"/>
    </xf>
    <xf numFmtId="166" fontId="0" fillId="3" borderId="59" xfId="0" applyNumberFormat="1" applyFill="1" applyBorder="1"/>
    <xf numFmtId="166" fontId="0" fillId="3" borderId="8" xfId="0" applyNumberFormat="1" applyFill="1" applyBorder="1"/>
    <xf numFmtId="0" fontId="0" fillId="3" borderId="0" xfId="0" applyFill="1"/>
    <xf numFmtId="0" fontId="0" fillId="3" borderId="59" xfId="0" applyFill="1" applyBorder="1"/>
    <xf numFmtId="166" fontId="0" fillId="3" borderId="5" xfId="0" applyNumberFormat="1" applyFill="1" applyBorder="1" applyAlignment="1">
      <alignment horizontal="right"/>
    </xf>
    <xf numFmtId="166" fontId="0" fillId="3" borderId="3" xfId="0" applyNumberFormat="1" applyFill="1" applyBorder="1" applyAlignment="1">
      <alignment horizontal="right"/>
    </xf>
    <xf numFmtId="166" fontId="0" fillId="3" borderId="59" xfId="0" applyNumberFormat="1" applyFill="1" applyBorder="1" applyAlignment="1">
      <alignment horizontal="right"/>
    </xf>
    <xf numFmtId="166" fontId="0" fillId="3" borderId="32" xfId="0" applyNumberFormat="1" applyFill="1" applyBorder="1" applyAlignment="1">
      <alignment horizontal="right"/>
    </xf>
    <xf numFmtId="166" fontId="0" fillId="3" borderId="47" xfId="0" applyNumberFormat="1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166" fontId="0" fillId="3" borderId="19" xfId="0" applyNumberFormat="1" applyFill="1" applyBorder="1"/>
    <xf numFmtId="166" fontId="0" fillId="3" borderId="10" xfId="0" applyNumberFormat="1" applyFill="1" applyBorder="1"/>
    <xf numFmtId="0" fontId="0" fillId="3" borderId="9" xfId="0" applyFill="1" applyBorder="1"/>
    <xf numFmtId="166" fontId="0" fillId="3" borderId="10" xfId="0" applyNumberFormat="1" applyFill="1" applyBorder="1" applyAlignment="1">
      <alignment horizontal="right"/>
    </xf>
    <xf numFmtId="166" fontId="0" fillId="3" borderId="9" xfId="0" applyNumberFormat="1" applyFill="1" applyBorder="1" applyAlignment="1">
      <alignment horizontal="right"/>
    </xf>
    <xf numFmtId="166" fontId="0" fillId="3" borderId="19" xfId="0" applyNumberFormat="1" applyFill="1" applyBorder="1" applyAlignment="1">
      <alignment horizontal="right"/>
    </xf>
    <xf numFmtId="0" fontId="0" fillId="3" borderId="71" xfId="0" applyFill="1" applyBorder="1" applyAlignment="1">
      <alignment horizontal="right"/>
    </xf>
    <xf numFmtId="0" fontId="0" fillId="3" borderId="55" xfId="0" applyFill="1" applyBorder="1" applyAlignment="1">
      <alignment horizontal="right"/>
    </xf>
    <xf numFmtId="166" fontId="0" fillId="3" borderId="9" xfId="0" applyNumberFormat="1" applyFill="1" applyBorder="1"/>
    <xf numFmtId="0" fontId="0" fillId="3" borderId="10" xfId="0" applyFill="1" applyBorder="1"/>
    <xf numFmtId="0" fontId="0" fillId="3" borderId="9" xfId="0" applyFill="1" applyBorder="1" applyAlignment="1">
      <alignment horizontal="left"/>
    </xf>
    <xf numFmtId="166" fontId="0" fillId="3" borderId="4" xfId="0" applyNumberFormat="1" applyFill="1" applyBorder="1" applyAlignment="1">
      <alignment horizontal="right"/>
    </xf>
    <xf numFmtId="0" fontId="0" fillId="8" borderId="0" xfId="0" applyFill="1"/>
    <xf numFmtId="0" fontId="0" fillId="8" borderId="9" xfId="0" applyFill="1" applyBorder="1" applyAlignment="1">
      <alignment horizontal="left"/>
    </xf>
    <xf numFmtId="166" fontId="0" fillId="8" borderId="70" xfId="0" applyNumberFormat="1" applyFill="1" applyBorder="1" applyAlignment="1">
      <alignment horizontal="right"/>
    </xf>
    <xf numFmtId="166" fontId="0" fillId="8" borderId="71" xfId="0" applyNumberFormat="1" applyFill="1" applyBorder="1" applyAlignment="1">
      <alignment horizontal="right"/>
    </xf>
    <xf numFmtId="166" fontId="0" fillId="8" borderId="72" xfId="0" applyNumberFormat="1" applyFill="1" applyBorder="1" applyAlignment="1">
      <alignment horizontal="right"/>
    </xf>
    <xf numFmtId="166" fontId="0" fillId="8" borderId="20" xfId="0" applyNumberFormat="1" applyFill="1" applyBorder="1"/>
    <xf numFmtId="166" fontId="0" fillId="8" borderId="71" xfId="0" applyNumberFormat="1" applyFill="1" applyBorder="1"/>
    <xf numFmtId="166" fontId="0" fillId="3" borderId="72" xfId="0" applyNumberFormat="1" applyFill="1" applyBorder="1" applyAlignment="1">
      <alignment horizontal="right"/>
    </xf>
    <xf numFmtId="166" fontId="10" fillId="8" borderId="74" xfId="0" applyNumberFormat="1" applyFont="1" applyFill="1" applyBorder="1" applyAlignment="1">
      <alignment horizontal="center"/>
    </xf>
    <xf numFmtId="166" fontId="10" fillId="8" borderId="49" xfId="0" applyNumberFormat="1" applyFont="1" applyFill="1" applyBorder="1"/>
    <xf numFmtId="166" fontId="10" fillId="8" borderId="17" xfId="0" applyNumberFormat="1" applyFont="1" applyFill="1" applyBorder="1" applyAlignment="1">
      <alignment horizontal="right"/>
    </xf>
    <xf numFmtId="166" fontId="10" fillId="8" borderId="13" xfId="0" applyNumberFormat="1" applyFont="1" applyFill="1" applyBorder="1" applyAlignment="1">
      <alignment horizontal="right"/>
    </xf>
    <xf numFmtId="0" fontId="0" fillId="3" borderId="75" xfId="0" applyFill="1" applyBorder="1"/>
    <xf numFmtId="0" fontId="0" fillId="3" borderId="5" xfId="0" applyFill="1" applyBorder="1"/>
    <xf numFmtId="44" fontId="0" fillId="0" borderId="5" xfId="1" applyFont="1" applyBorder="1"/>
    <xf numFmtId="166" fontId="0" fillId="3" borderId="32" xfId="0" applyNumberFormat="1" applyFill="1" applyBorder="1"/>
    <xf numFmtId="0" fontId="10" fillId="10" borderId="76" xfId="0" applyFont="1" applyFill="1" applyBorder="1" applyAlignment="1">
      <alignment horizontal="center"/>
    </xf>
    <xf numFmtId="0" fontId="10" fillId="10" borderId="77" xfId="0" applyFont="1" applyFill="1" applyBorder="1" applyAlignment="1">
      <alignment horizontal="center"/>
    </xf>
    <xf numFmtId="0" fontId="10" fillId="10" borderId="77" xfId="0" applyFont="1" applyFill="1" applyBorder="1" applyAlignment="1">
      <alignment horizontal="center" wrapText="1"/>
    </xf>
    <xf numFmtId="0" fontId="10" fillId="10" borderId="38" xfId="0" applyFont="1" applyFill="1" applyBorder="1" applyAlignment="1">
      <alignment horizontal="center"/>
    </xf>
    <xf numFmtId="166" fontId="0" fillId="3" borderId="5" xfId="0" applyNumberFormat="1" applyFill="1" applyBorder="1"/>
    <xf numFmtId="0" fontId="0" fillId="0" borderId="19" xfId="0" applyBorder="1"/>
    <xf numFmtId="166" fontId="0" fillId="3" borderId="79" xfId="0" applyNumberFormat="1" applyFill="1" applyBorder="1" applyAlignment="1">
      <alignment horizontal="right"/>
    </xf>
    <xf numFmtId="166" fontId="0" fillId="3" borderId="78" xfId="0" applyNumberFormat="1" applyFill="1" applyBorder="1" applyAlignment="1">
      <alignment horizontal="right"/>
    </xf>
    <xf numFmtId="44" fontId="0" fillId="0" borderId="78" xfId="1" applyFont="1" applyBorder="1"/>
    <xf numFmtId="44" fontId="0" fillId="3" borderId="19" xfId="1" applyFont="1" applyFill="1" applyBorder="1" applyAlignment="1">
      <alignment horizontal="right"/>
    </xf>
    <xf numFmtId="44" fontId="0" fillId="3" borderId="5" xfId="1" applyFont="1" applyFill="1" applyBorder="1" applyAlignment="1">
      <alignment horizontal="right"/>
    </xf>
    <xf numFmtId="44" fontId="0" fillId="3" borderId="78" xfId="1" applyFont="1" applyFill="1" applyBorder="1" applyAlignment="1">
      <alignment horizontal="right"/>
    </xf>
    <xf numFmtId="44" fontId="0" fillId="0" borderId="19" xfId="1" applyFont="1" applyBorder="1"/>
    <xf numFmtId="0" fontId="0" fillId="0" borderId="78" xfId="1" applyNumberFormat="1" applyFont="1" applyBorder="1"/>
    <xf numFmtId="166" fontId="10" fillId="8" borderId="80" xfId="0" applyNumberFormat="1" applyFont="1" applyFill="1" applyBorder="1" applyAlignment="1">
      <alignment horizontal="center"/>
    </xf>
    <xf numFmtId="0" fontId="10" fillId="8" borderId="80" xfId="0" applyNumberFormat="1" applyFont="1" applyFill="1" applyBorder="1" applyAlignment="1">
      <alignment horizontal="center"/>
    </xf>
    <xf numFmtId="44" fontId="0" fillId="3" borderId="5" xfId="1" applyFont="1" applyFill="1" applyBorder="1"/>
    <xf numFmtId="166" fontId="7" fillId="8" borderId="51" xfId="0" applyNumberFormat="1" applyFont="1" applyFill="1" applyBorder="1"/>
    <xf numFmtId="166" fontId="7" fillId="8" borderId="81" xfId="0" applyNumberFormat="1" applyFont="1" applyFill="1" applyBorder="1"/>
    <xf numFmtId="0" fontId="0" fillId="0" borderId="55" xfId="1" applyNumberFormat="1" applyFont="1" applyBorder="1"/>
    <xf numFmtId="0" fontId="0" fillId="3" borderId="78" xfId="1" applyNumberFormat="1" applyFont="1" applyFill="1" applyBorder="1" applyAlignment="1">
      <alignment horizontal="right"/>
    </xf>
    <xf numFmtId="0" fontId="0" fillId="0" borderId="55" xfId="0" applyNumberFormat="1" applyBorder="1"/>
    <xf numFmtId="44" fontId="0" fillId="3" borderId="19" xfId="1" applyFont="1" applyFill="1" applyBorder="1"/>
    <xf numFmtId="44" fontId="0" fillId="3" borderId="10" xfId="1" applyFont="1" applyFill="1" applyBorder="1"/>
    <xf numFmtId="44" fontId="0" fillId="0" borderId="82" xfId="1" applyFont="1" applyBorder="1"/>
    <xf numFmtId="44" fontId="0" fillId="0" borderId="64" xfId="0" applyNumberFormat="1" applyBorder="1"/>
    <xf numFmtId="166" fontId="0" fillId="3" borderId="19" xfId="1" applyNumberFormat="1" applyFont="1" applyFill="1" applyBorder="1" applyAlignment="1">
      <alignment horizontal="right"/>
    </xf>
    <xf numFmtId="0" fontId="0" fillId="3" borderId="83" xfId="0" applyFill="1" applyBorder="1"/>
    <xf numFmtId="166" fontId="0" fillId="3" borderId="84" xfId="0" applyNumberFormat="1" applyFill="1" applyBorder="1" applyAlignment="1">
      <alignment horizontal="right"/>
    </xf>
    <xf numFmtId="166" fontId="0" fillId="3" borderId="83" xfId="0" applyNumberFormat="1" applyFill="1" applyBorder="1" applyAlignment="1">
      <alignment horizontal="right"/>
    </xf>
    <xf numFmtId="0" fontId="0" fillId="0" borderId="78" xfId="0" applyBorder="1"/>
    <xf numFmtId="166" fontId="0" fillId="3" borderId="7" xfId="0" applyNumberFormat="1" applyFill="1" applyBorder="1"/>
    <xf numFmtId="166" fontId="0" fillId="3" borderId="18" xfId="0" applyNumberFormat="1" applyFill="1" applyBorder="1"/>
    <xf numFmtId="166" fontId="7" fillId="8" borderId="50" xfId="0" applyNumberFormat="1" applyFont="1" applyFill="1" applyBorder="1"/>
    <xf numFmtId="0" fontId="0" fillId="0" borderId="78" xfId="0" applyNumberFormat="1" applyBorder="1"/>
    <xf numFmtId="0" fontId="10" fillId="8" borderId="85" xfId="0" applyNumberFormat="1" applyFont="1" applyFill="1" applyBorder="1" applyAlignment="1">
      <alignment horizontal="center"/>
    </xf>
    <xf numFmtId="166" fontId="0" fillId="0" borderId="5" xfId="1" applyNumberFormat="1" applyFont="1" applyBorder="1"/>
    <xf numFmtId="166" fontId="0" fillId="0" borderId="78" xfId="1" applyNumberFormat="1" applyFont="1" applyBorder="1"/>
    <xf numFmtId="44" fontId="0" fillId="3" borderId="5" xfId="1" applyFont="1" applyFill="1" applyBorder="1" applyAlignment="1">
      <alignment horizontal="left" vertical="top"/>
    </xf>
    <xf numFmtId="0" fontId="0" fillId="0" borderId="82" xfId="0" applyBorder="1"/>
    <xf numFmtId="166" fontId="10" fillId="8" borderId="86" xfId="0" applyNumberFormat="1" applyFont="1" applyFill="1" applyBorder="1" applyAlignment="1">
      <alignment horizontal="center"/>
    </xf>
    <xf numFmtId="0" fontId="15" fillId="0" borderId="0" xfId="0" applyFont="1"/>
    <xf numFmtId="44" fontId="0" fillId="0" borderId="5" xfId="1" applyFont="1" applyFill="1" applyBorder="1" applyAlignment="1">
      <alignment horizontal="right"/>
    </xf>
    <xf numFmtId="44" fontId="0" fillId="0" borderId="19" xfId="1" applyFont="1" applyFill="1" applyBorder="1" applyAlignment="1">
      <alignment horizontal="right"/>
    </xf>
    <xf numFmtId="44" fontId="0" fillId="3" borderId="82" xfId="1" applyFont="1" applyFill="1" applyBorder="1" applyAlignment="1">
      <alignment horizontal="right"/>
    </xf>
    <xf numFmtId="166" fontId="0" fillId="0" borderId="82" xfId="1" applyNumberFormat="1" applyFont="1" applyFill="1" applyBorder="1" applyAlignment="1">
      <alignment horizontal="right"/>
    </xf>
    <xf numFmtId="44" fontId="0" fillId="0" borderId="82" xfId="1" applyFont="1" applyFill="1" applyBorder="1" applyAlignment="1">
      <alignment horizontal="right"/>
    </xf>
    <xf numFmtId="0" fontId="10" fillId="10" borderId="89" xfId="0" applyFont="1" applyFill="1" applyBorder="1" applyAlignment="1">
      <alignment horizontal="center"/>
    </xf>
    <xf numFmtId="44" fontId="0" fillId="3" borderId="87" xfId="1" applyFont="1" applyFill="1" applyBorder="1" applyAlignment="1">
      <alignment horizontal="right"/>
    </xf>
    <xf numFmtId="0" fontId="10" fillId="10" borderId="88" xfId="0" applyFont="1" applyFill="1" applyBorder="1" applyAlignment="1">
      <alignment horizontal="center"/>
    </xf>
    <xf numFmtId="0" fontId="10" fillId="10" borderId="91" xfId="0" applyFont="1" applyFill="1" applyBorder="1" applyAlignment="1">
      <alignment horizontal="center"/>
    </xf>
    <xf numFmtId="0" fontId="10" fillId="10" borderId="92" xfId="0" applyFont="1" applyFill="1" applyBorder="1" applyAlignment="1">
      <alignment horizontal="center" wrapText="1"/>
    </xf>
    <xf numFmtId="0" fontId="10" fillId="10" borderId="92" xfId="0" applyFont="1" applyFill="1" applyBorder="1" applyAlignment="1">
      <alignment horizontal="center"/>
    </xf>
    <xf numFmtId="0" fontId="0" fillId="3" borderId="94" xfId="0" applyFill="1" applyBorder="1"/>
    <xf numFmtId="0" fontId="0" fillId="0" borderId="82" xfId="0" applyFill="1" applyBorder="1"/>
    <xf numFmtId="0" fontId="0" fillId="3" borderId="82" xfId="0" applyFill="1" applyBorder="1"/>
    <xf numFmtId="0" fontId="0" fillId="3" borderId="95" xfId="0" applyFill="1" applyBorder="1"/>
    <xf numFmtId="0" fontId="0" fillId="3" borderId="96" xfId="0" applyFill="1" applyBorder="1"/>
    <xf numFmtId="0" fontId="7" fillId="8" borderId="97" xfId="0" applyFont="1" applyFill="1" applyBorder="1" applyAlignment="1">
      <alignment horizontal="center"/>
    </xf>
    <xf numFmtId="0" fontId="7" fillId="8" borderId="98" xfId="0" applyFont="1" applyFill="1" applyBorder="1"/>
    <xf numFmtId="0" fontId="10" fillId="10" borderId="84" xfId="0" applyFont="1" applyFill="1" applyBorder="1" applyAlignment="1">
      <alignment horizontal="center"/>
    </xf>
    <xf numFmtId="166" fontId="0" fillId="3" borderId="79" xfId="0" applyNumberFormat="1" applyFill="1" applyBorder="1"/>
    <xf numFmtId="166" fontId="0" fillId="3" borderId="99" xfId="0" applyNumberFormat="1" applyFill="1" applyBorder="1"/>
    <xf numFmtId="166" fontId="0" fillId="3" borderId="87" xfId="0" applyNumberFormat="1" applyFill="1" applyBorder="1"/>
    <xf numFmtId="44" fontId="0" fillId="3" borderId="82" xfId="1" applyFont="1" applyFill="1" applyBorder="1"/>
    <xf numFmtId="44" fontId="0" fillId="3" borderId="78" xfId="1" applyFont="1" applyFill="1" applyBorder="1"/>
    <xf numFmtId="166" fontId="7" fillId="8" borderId="100" xfId="0" applyNumberFormat="1" applyFont="1" applyFill="1" applyBorder="1"/>
    <xf numFmtId="166" fontId="7" fillId="8" borderId="101" xfId="0" applyNumberFormat="1" applyFont="1" applyFill="1" applyBorder="1"/>
    <xf numFmtId="44" fontId="7" fillId="8" borderId="103" xfId="1" applyFont="1" applyFill="1" applyBorder="1" applyAlignment="1">
      <alignment horizontal="right"/>
    </xf>
    <xf numFmtId="44" fontId="7" fillId="8" borderId="102" xfId="1" applyFont="1" applyFill="1" applyBorder="1" applyAlignment="1">
      <alignment horizontal="right"/>
    </xf>
    <xf numFmtId="0" fontId="16" fillId="0" borderId="0" xfId="0" applyFont="1"/>
    <xf numFmtId="0" fontId="11" fillId="7" borderId="45" xfId="0" applyFont="1" applyFill="1" applyBorder="1" applyAlignment="1">
      <alignment horizontal="center" vertical="top"/>
    </xf>
    <xf numFmtId="0" fontId="11" fillId="7" borderId="16" xfId="0" applyFont="1" applyFill="1" applyBorder="1" applyAlignment="1">
      <alignment horizontal="center" vertical="top"/>
    </xf>
    <xf numFmtId="0" fontId="11" fillId="7" borderId="46" xfId="0" applyFont="1" applyFill="1" applyBorder="1" applyAlignment="1">
      <alignment horizontal="center" vertical="top"/>
    </xf>
    <xf numFmtId="0" fontId="11" fillId="7" borderId="17" xfId="0" applyFont="1" applyFill="1" applyBorder="1" applyAlignment="1">
      <alignment horizontal="center" vertical="top"/>
    </xf>
    <xf numFmtId="7" fontId="0" fillId="0" borderId="21" xfId="0" applyNumberFormat="1" applyBorder="1" applyAlignment="1">
      <alignment horizontal="center"/>
    </xf>
    <xf numFmtId="0" fontId="10" fillId="12" borderId="90" xfId="0" applyFont="1" applyFill="1" applyBorder="1" applyAlignment="1">
      <alignment horizontal="center"/>
    </xf>
    <xf numFmtId="0" fontId="7" fillId="12" borderId="93" xfId="0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left"/>
    </xf>
    <xf numFmtId="0" fontId="10" fillId="12" borderId="34" xfId="0" applyFont="1" applyFill="1" applyBorder="1" applyAlignment="1">
      <alignment horizontal="center"/>
    </xf>
    <xf numFmtId="0" fontId="10" fillId="12" borderId="24" xfId="0" applyFont="1" applyFill="1" applyBorder="1" applyAlignment="1">
      <alignment horizontal="center"/>
    </xf>
    <xf numFmtId="0" fontId="10" fillId="12" borderId="35" xfId="0" applyFont="1" applyFill="1" applyBorder="1" applyAlignment="1">
      <alignment horizontal="center"/>
    </xf>
    <xf numFmtId="0" fontId="7" fillId="12" borderId="43" xfId="0" applyFont="1" applyFill="1" applyBorder="1" applyAlignment="1">
      <alignment horizontal="center"/>
    </xf>
    <xf numFmtId="0" fontId="7" fillId="12" borderId="61" xfId="0" applyFont="1" applyFill="1" applyBorder="1" applyAlignment="1">
      <alignment horizontal="center"/>
    </xf>
    <xf numFmtId="0" fontId="7" fillId="6" borderId="4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30" xfId="0" applyFont="1" applyFill="1" applyBorder="1" applyAlignment="1">
      <alignment horizontal="center"/>
    </xf>
    <xf numFmtId="0" fontId="10" fillId="9" borderId="31" xfId="0" applyFont="1" applyFill="1" applyBorder="1" applyAlignment="1">
      <alignment horizontal="center"/>
    </xf>
    <xf numFmtId="0" fontId="10" fillId="9" borderId="35" xfId="0" applyFont="1" applyFill="1" applyBorder="1" applyAlignment="1">
      <alignment horizontal="center"/>
    </xf>
  </cellXfs>
  <cellStyles count="5">
    <cellStyle name="Currency" xfId="1" builtinId="4"/>
    <cellStyle name="Currency 2" xfId="4" xr:uid="{00000000-0005-0000-0000-000001000000}"/>
    <cellStyle name="Currency 3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colors>
    <mruColors>
      <color rgb="FFE3ECD0"/>
      <color rgb="FFCED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Cumulative</a:t>
            </a:r>
            <a:r>
              <a:rPr lang="en-US" b="1" baseline="0"/>
              <a:t> Project Expeditures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7634259259259263"/>
          <c:w val="0.9694444783549343"/>
          <c:h val="0.59054876171233672"/>
        </c:manualLayout>
      </c:layout>
      <c:pie3DChart>
        <c:varyColors val="1"/>
        <c:ser>
          <c:idx val="0"/>
          <c:order val="0"/>
          <c:explosion val="4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F11-479F-B692-9DD9DBD9BE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F11-479F-B692-9DD9DBD9BE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AB9-492E-B61C-B25E63B827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F11-479F-B692-9DD9DBD9BE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F11-479F-B692-9DD9DBD9BE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F11-479F-B692-9DD9DBD9BE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7F11-479F-B692-9DD9DBD9BE0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F11-479F-B692-9DD9DBD9BE0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AB9-492E-B61C-B25E63B82727}"/>
              </c:ext>
            </c:extLst>
          </c:dPt>
          <c:dLbls>
            <c:dLbl>
              <c:idx val="0"/>
              <c:layout>
                <c:manualLayout>
                  <c:x val="1.72265288544352E-3"/>
                  <c:y val="-1.82440114989945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11-479F-B692-9DD9DBD9BE05}"/>
                </c:ext>
              </c:extLst>
            </c:dLbl>
            <c:dLbl>
              <c:idx val="1"/>
              <c:layout>
                <c:manualLayout>
                  <c:x val="1.7226528854435832E-2"/>
                  <c:y val="6.081337166331514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11-479F-B692-9DD9DBD9BE05}"/>
                </c:ext>
              </c:extLst>
            </c:dLbl>
            <c:dLbl>
              <c:idx val="3"/>
              <c:layout>
                <c:manualLayout>
                  <c:x val="-6.3163209466145705E-17"/>
                  <c:y val="3.648802299798908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11-479F-B692-9DD9DBD9BE05}"/>
                </c:ext>
              </c:extLst>
            </c:dLbl>
            <c:dLbl>
              <c:idx val="4"/>
              <c:layout>
                <c:manualLayout>
                  <c:x val="2.4117140396210164E-2"/>
                  <c:y val="2.73660172484917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11-479F-B692-9DD9DBD9BE05}"/>
                </c:ext>
              </c:extLst>
            </c:dLbl>
            <c:dLbl>
              <c:idx val="5"/>
              <c:layout>
                <c:manualLayout>
                  <c:x val="-2.0671834625322998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11-479F-B692-9DD9DBD9BE05}"/>
                </c:ext>
              </c:extLst>
            </c:dLbl>
            <c:dLbl>
              <c:idx val="6"/>
              <c:layout>
                <c:manualLayout>
                  <c:x val="-2.2394487510766579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11-479F-B692-9DD9DBD9BE05}"/>
                </c:ext>
              </c:extLst>
            </c:dLbl>
            <c:dLbl>
              <c:idx val="7"/>
              <c:layout>
                <c:manualLayout>
                  <c:x val="-1.7226528854435832E-2"/>
                  <c:y val="3.040668583165701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11-479F-B692-9DD9DBD9BE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Cumulative!$E$2:$M$2</c:f>
              <c:strCache>
                <c:ptCount val="9"/>
                <c:pt idx="0">
                  <c:v> Operating </c:v>
                </c:pt>
                <c:pt idx="1">
                  <c:v> Grant </c:v>
                </c:pt>
                <c:pt idx="2">
                  <c:v> APUC Grant* </c:v>
                </c:pt>
                <c:pt idx="3">
                  <c:v> Loan </c:v>
                </c:pt>
                <c:pt idx="4">
                  <c:v> PACE/Flex PACE Interest Buydown </c:v>
                </c:pt>
                <c:pt idx="5">
                  <c:v> NJTF </c:v>
                </c:pt>
                <c:pt idx="6">
                  <c:v>Stocks</c:v>
                </c:pt>
                <c:pt idx="7">
                  <c:v> Land/Building </c:v>
                </c:pt>
                <c:pt idx="8">
                  <c:v> Infrastructure </c:v>
                </c:pt>
              </c:strCache>
            </c:strRef>
          </c:cat>
          <c:val>
            <c:numRef>
              <c:f>Cumulative!$E$3:$M$3</c:f>
              <c:numCache>
                <c:formatCode>"$"#,##0.00_);\("$"#,##0.00\)</c:formatCode>
                <c:ptCount val="9"/>
                <c:pt idx="0" formatCode="_(&quot;$&quot;* #,##0.00_);_(&quot;$&quot;* \(#,##0.00\);_(&quot;$&quot;* &quot;-&quot;??_);_(@_)">
                  <c:v>8359547</c:v>
                </c:pt>
                <c:pt idx="1">
                  <c:v>20196259.869999997</c:v>
                </c:pt>
                <c:pt idx="2">
                  <c:v>235000</c:v>
                </c:pt>
                <c:pt idx="3">
                  <c:v>4494271.1399999997</c:v>
                </c:pt>
                <c:pt idx="4">
                  <c:v>5086743.13</c:v>
                </c:pt>
                <c:pt idx="5">
                  <c:v>2374188.2400000002</c:v>
                </c:pt>
                <c:pt idx="6">
                  <c:v>6434000</c:v>
                </c:pt>
                <c:pt idx="7">
                  <c:v>6583592.9800000004</c:v>
                </c:pt>
                <c:pt idx="8">
                  <c:v>14288190.149999999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1-479F-B692-9DD9DBD9B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Expenditures</a:t>
            </a:r>
          </a:p>
          <a:p>
            <a:pPr>
              <a:defRPr/>
            </a:pPr>
            <a:r>
              <a:rPr lang="en-US"/>
              <a:t>2012</a:t>
            </a:r>
          </a:p>
        </c:rich>
      </c:tx>
      <c:layout>
        <c:manualLayout>
          <c:xMode val="edge"/>
          <c:yMode val="edge"/>
          <c:x val="0.70395897435897437"/>
          <c:y val="0.75497835497835497"/>
        </c:manualLayout>
      </c:layout>
      <c:overlay val="1"/>
    </c:title>
    <c:autoTitleDeleted val="0"/>
    <c:view3D>
      <c:rotX val="5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6.1853346456692916E-2"/>
                  <c:y val="0.121882837561971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03-4764-95C5-95810CA3D515}"/>
                </c:ext>
              </c:extLst>
            </c:dLbl>
            <c:dLbl>
              <c:idx val="1"/>
              <c:layout>
                <c:manualLayout>
                  <c:x val="0.20965846961437512"/>
                  <c:y val="-3.3486723250490078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03-4764-95C5-95810CA3D515}"/>
                </c:ext>
              </c:extLst>
            </c:dLbl>
            <c:dLbl>
              <c:idx val="2"/>
              <c:layout>
                <c:manualLayout>
                  <c:x val="-2.1591285730921859E-2"/>
                  <c:y val="0.1290999277102577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03-4764-95C5-95810CA3D51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03-4764-95C5-95810CA3D515}"/>
                </c:ext>
              </c:extLst>
            </c:dLbl>
            <c:dLbl>
              <c:idx val="4"/>
              <c:layout>
                <c:manualLayout>
                  <c:x val="-7.9816183386632975E-2"/>
                  <c:y val="0.1425235506867525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03-4764-95C5-95810CA3D51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03-4764-95C5-95810CA3D515}"/>
                </c:ext>
              </c:extLst>
            </c:dLbl>
            <c:dLbl>
              <c:idx val="7"/>
              <c:layout>
                <c:manualLayout>
                  <c:x val="0.12647009892994146"/>
                  <c:y val="8.9716058219995224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Land/Building, $10,275.00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503-4764-95C5-95810CA3D51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03-4764-95C5-95810CA3D5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'2012'!$E$2:$M$2</c:f>
              <c:strCache>
                <c:ptCount val="9"/>
                <c:pt idx="0">
                  <c:v>Operating</c:v>
                </c:pt>
                <c:pt idx="1">
                  <c:v>Grant</c:v>
                </c:pt>
                <c:pt idx="2">
                  <c:v>APUC Grant</c:v>
                </c:pt>
                <c:pt idx="3">
                  <c:v>Loan</c:v>
                </c:pt>
                <c:pt idx="4">
                  <c:v>PACE/Flex-PACE Interest Buydown Loan</c:v>
                </c:pt>
                <c:pt idx="5">
                  <c:v>NJTF</c:v>
                </c:pt>
                <c:pt idx="6">
                  <c:v>Stocks</c:v>
                </c:pt>
                <c:pt idx="7">
                  <c:v>Land/
Building</c:v>
                </c:pt>
                <c:pt idx="8">
                  <c:v>Infrastructure</c:v>
                </c:pt>
              </c:strCache>
            </c:strRef>
          </c:cat>
          <c:val>
            <c:numRef>
              <c:f>'2012'!$E$16:$M$16</c:f>
              <c:numCache>
                <c:formatCode>"$"#,##0.00</c:formatCode>
                <c:ptCount val="9"/>
                <c:pt idx="0">
                  <c:v>393000</c:v>
                </c:pt>
                <c:pt idx="1">
                  <c:v>365816</c:v>
                </c:pt>
                <c:pt idx="2">
                  <c:v>110000</c:v>
                </c:pt>
                <c:pt idx="3">
                  <c:v>0</c:v>
                </c:pt>
                <c:pt idx="4">
                  <c:v>243000</c:v>
                </c:pt>
                <c:pt idx="5">
                  <c:v>0</c:v>
                </c:pt>
                <c:pt idx="7">
                  <c:v>10275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03-4764-95C5-95810CA3D51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Expenditures 2012</a:t>
            </a:r>
          </a:p>
        </c:rich>
      </c:tx>
      <c:layout>
        <c:manualLayout>
          <c:xMode val="edge"/>
          <c:yMode val="edge"/>
          <c:x val="0.31596258000984739"/>
          <c:y val="0"/>
        </c:manualLayout>
      </c:layout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9.075890624454809E-2"/>
                  <c:y val="5.364486561449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C-4A51-8972-634B0F87CD72}"/>
                </c:ext>
              </c:extLst>
            </c:dLbl>
            <c:dLbl>
              <c:idx val="1"/>
              <c:layout>
                <c:manualLayout>
                  <c:x val="0.16510760379472506"/>
                  <c:y val="-1.38916517004576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C-4A51-8972-634B0F87CD72}"/>
                </c:ext>
              </c:extLst>
            </c:dLbl>
            <c:dLbl>
              <c:idx val="2"/>
              <c:layout>
                <c:manualLayout>
                  <c:x val="-2.9194105537398669E-2"/>
                  <c:y val="-2.5383301896064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C-4A51-8972-634B0F87CD7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C-4A51-8972-634B0F87CD72}"/>
                </c:ext>
              </c:extLst>
            </c:dLbl>
            <c:dLbl>
              <c:idx val="4"/>
              <c:layout>
                <c:manualLayout>
                  <c:x val="-6.4474193310769687E-2"/>
                  <c:y val="5.3602306559690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C-4A51-8972-634B0F87CD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C-4A51-8972-634B0F87CD72}"/>
                </c:ext>
              </c:extLst>
            </c:dLbl>
            <c:dLbl>
              <c:idx val="8"/>
              <c:layout>
                <c:manualLayout>
                  <c:x val="0.10142717020047531"/>
                  <c:y val="9.985153708727710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C-4A51-8972-634B0F87CD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'2012'!$E$2:$M$2</c:f>
              <c:strCache>
                <c:ptCount val="9"/>
                <c:pt idx="0">
                  <c:v>Operating</c:v>
                </c:pt>
                <c:pt idx="1">
                  <c:v>Grant</c:v>
                </c:pt>
                <c:pt idx="2">
                  <c:v>APUC Grant</c:v>
                </c:pt>
                <c:pt idx="3">
                  <c:v>Loan</c:v>
                </c:pt>
                <c:pt idx="4">
                  <c:v>PACE/Flex-PACE Interest Buydown Loan</c:v>
                </c:pt>
                <c:pt idx="5">
                  <c:v>NJTF</c:v>
                </c:pt>
                <c:pt idx="6">
                  <c:v>Stocks</c:v>
                </c:pt>
                <c:pt idx="7">
                  <c:v>Land/
Building</c:v>
                </c:pt>
                <c:pt idx="8">
                  <c:v>Infrastructure</c:v>
                </c:pt>
              </c:strCache>
            </c:strRef>
          </c:cat>
          <c:val>
            <c:numRef>
              <c:f>'2012'!$E$16:$M$16</c:f>
              <c:numCache>
                <c:formatCode>"$"#,##0.00</c:formatCode>
                <c:ptCount val="9"/>
                <c:pt idx="0">
                  <c:v>393000</c:v>
                </c:pt>
                <c:pt idx="1">
                  <c:v>365816</c:v>
                </c:pt>
                <c:pt idx="2">
                  <c:v>110000</c:v>
                </c:pt>
                <c:pt idx="3">
                  <c:v>0</c:v>
                </c:pt>
                <c:pt idx="4">
                  <c:v>243000</c:v>
                </c:pt>
                <c:pt idx="5">
                  <c:v>0</c:v>
                </c:pt>
                <c:pt idx="7">
                  <c:v>10275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AC-4A51-8972-634B0F87CD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2011 Projects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7432852143482064"/>
                  <c:y val="4.29392680081656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Operating
$373,000</a:t>
                    </a:r>
                  </a:p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38A-42C8-9163-30E497DA72E1}"/>
                </c:ext>
              </c:extLst>
            </c:dLbl>
            <c:dLbl>
              <c:idx val="1"/>
              <c:layout>
                <c:manualLayout>
                  <c:x val="9.7790901137357884E-4"/>
                  <c:y val="-0.135058690580344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Grant
$443,902</a:t>
                    </a:r>
                  </a:p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38A-42C8-9163-30E497DA72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PACE/Flex-PACE Interest Buydown</a:t>
                    </a:r>
                  </a:p>
                  <a:p>
                    <a:r>
                      <a:rPr lang="en-US"/>
                      <a:t>$309,000
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38A-42C8-9163-30E497DA72E1}"/>
                </c:ext>
              </c:extLst>
            </c:dLbl>
            <c:dLbl>
              <c:idx val="4"/>
              <c:layout>
                <c:manualLayout>
                  <c:x val="9.3599956255468103E-2"/>
                  <c:y val="-3.015091863517061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New Jobs</a:t>
                    </a:r>
                  </a:p>
                  <a:p>
                    <a:r>
                      <a:rPr lang="en-US"/>
                      <a:t>Training Funds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38A-42C8-9163-30E497DA72E1}"/>
                </c:ext>
              </c:extLst>
            </c:dLbl>
            <c:dLbl>
              <c:idx val="6"/>
              <c:layout>
                <c:manualLayout>
                  <c:x val="1.9757545931758536E-2"/>
                  <c:y val="0.182060367454068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Land/bldg
$405,096</a:t>
                    </a:r>
                  </a:p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38A-42C8-9163-30E497DA72E1}"/>
                </c:ext>
              </c:extLst>
            </c:dLbl>
            <c:dLbl>
              <c:idx val="7"/>
              <c:layout>
                <c:manualLayout>
                  <c:x val="-5.9106517935258139E-3"/>
                  <c:y val="-0.353299066783318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Infrastructure
$3,750,000</a:t>
                    </a:r>
                  </a:p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38A-42C8-9163-30E497DA72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'2011'!$E$2:$L$2</c:f>
              <c:strCache>
                <c:ptCount val="8"/>
                <c:pt idx="0">
                  <c:v> Operating </c:v>
                </c:pt>
                <c:pt idx="1">
                  <c:v>Grant</c:v>
                </c:pt>
                <c:pt idx="2">
                  <c:v> Loan </c:v>
                </c:pt>
                <c:pt idx="3">
                  <c:v>PACE/Flex-PACE Interest Buydown</c:v>
                </c:pt>
                <c:pt idx="4">
                  <c:v> NJTF </c:v>
                </c:pt>
                <c:pt idx="5">
                  <c:v>Stocks</c:v>
                </c:pt>
                <c:pt idx="6">
                  <c:v> Land/bldg </c:v>
                </c:pt>
                <c:pt idx="7">
                  <c:v> Infrastructure </c:v>
                </c:pt>
              </c:strCache>
            </c:strRef>
          </c:cat>
          <c:val>
            <c:numRef>
              <c:f>'2011'!$E$21:$L$21</c:f>
              <c:numCache>
                <c:formatCode>"$"#,##0.00</c:formatCode>
                <c:ptCount val="8"/>
                <c:pt idx="0" formatCode="_(&quot;$&quot;* #,##0_);_(&quot;$&quot;* \(#,##0\);_(&quot;$&quot;* &quot;-&quot;??_);_(@_)">
                  <c:v>373000</c:v>
                </c:pt>
                <c:pt idx="1">
                  <c:v>443902</c:v>
                </c:pt>
                <c:pt idx="2" formatCode="_(&quot;$&quot;* #,##0_);_(&quot;$&quot;* \(#,##0\);_(&quot;$&quot;* &quot;-&quot;??_);_(@_)">
                  <c:v>0</c:v>
                </c:pt>
                <c:pt idx="3">
                  <c:v>309000</c:v>
                </c:pt>
                <c:pt idx="4" formatCode="_(&quot;$&quot;* #,##0_);_(&quot;$&quot;* \(#,##0\);_(&quot;$&quot;* &quot;-&quot;??_);_(@_)">
                  <c:v>0</c:v>
                </c:pt>
                <c:pt idx="6" formatCode="_(&quot;$&quot;* #,##0_);_(&quot;$&quot;* \(#,##0\);_(&quot;$&quot;* &quot;-&quot;??_);_(@_)">
                  <c:v>405096</c:v>
                </c:pt>
                <c:pt idx="7" formatCode="_([$$-409]* #,##0.00_);_([$$-409]* \(#,##0.00\);_([$$-409]* &quot;-&quot;??_);_(@_)">
                  <c:v>3750000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8A-42C8-9163-30E497DA72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2010 Projects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9.0486831222599901E-2"/>
                  <c:y val="3.92012977544474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Operating
23%</a:t>
                    </a:r>
                  </a:p>
                  <a:p>
                    <a:r>
                      <a:rPr lang="en-US"/>
                      <a:t>$373,000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554-420F-B4A2-8609B3E0AEB7}"/>
                </c:ext>
              </c:extLst>
            </c:dLbl>
            <c:dLbl>
              <c:idx val="1"/>
              <c:layout>
                <c:manualLayout>
                  <c:x val="4.0829950900946134E-2"/>
                  <c:y val="-1.49372995042286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Grant
36%</a:t>
                    </a:r>
                  </a:p>
                  <a:p>
                    <a:r>
                      <a:rPr lang="en-US"/>
                      <a:t>$595,902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554-420F-B4A2-8609B3E0AEB7}"/>
                </c:ext>
              </c:extLst>
            </c:dLbl>
            <c:dLbl>
              <c:idx val="2"/>
              <c:layout>
                <c:manualLayout>
                  <c:x val="9.4895132643938646E-2"/>
                  <c:y val="3.86402741324001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</a:t>
                    </a:r>
                  </a:p>
                  <a:p>
                    <a:r>
                      <a:rPr lang="en-US"/>
                      <a:t>1%
$18,000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554-420F-B4A2-8609B3E0AEB7}"/>
                </c:ext>
              </c:extLst>
            </c:dLbl>
            <c:dLbl>
              <c:idx val="3"/>
              <c:layout>
                <c:manualLayout>
                  <c:x val="-5.5937447709746783E-2"/>
                  <c:y val="5.121755613881597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PACE/Flex-PACE Interest Buydown
$16,000   - 1%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554-420F-B4A2-8609B3E0AEB7}"/>
                </c:ext>
              </c:extLst>
            </c:dLbl>
            <c:dLbl>
              <c:idx val="4"/>
              <c:layout>
                <c:manualLayout>
                  <c:x val="-5.9403640118755735E-2"/>
                  <c:y val="-0.110953630796150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New Jobs </a:t>
                    </a:r>
                  </a:p>
                  <a:p>
                    <a:r>
                      <a:rPr lang="en-US"/>
                      <a:t>Training Fund</a:t>
                    </a:r>
                  </a:p>
                  <a:p>
                    <a:r>
                      <a:rPr lang="en-US"/>
                      <a:t>13%
$220,000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554-420F-B4A2-8609B3E0AEB7}"/>
                </c:ext>
              </c:extLst>
            </c:dLbl>
            <c:dLbl>
              <c:idx val="6"/>
              <c:layout>
                <c:manualLayout>
                  <c:x val="-0.13230430895591602"/>
                  <c:y val="7.3693496646252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Land/bldg
22%</a:t>
                    </a:r>
                  </a:p>
                  <a:p>
                    <a:r>
                      <a:rPr lang="en-US"/>
                      <a:t>$365,096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554-420F-B4A2-8609B3E0AEB7}"/>
                </c:ext>
              </c:extLst>
            </c:dLbl>
            <c:dLbl>
              <c:idx val="7"/>
              <c:layout>
                <c:manualLayout>
                  <c:x val="-0.20722707475773194"/>
                  <c:y val="1.00415573053368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Infrastructure
4%</a:t>
                    </a:r>
                  </a:p>
                  <a:p>
                    <a:r>
                      <a:rPr lang="en-US"/>
                      <a:t>$69,999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554-420F-B4A2-8609B3E0AE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'2010'!$E$2:$L$2</c:f>
              <c:strCache>
                <c:ptCount val="8"/>
                <c:pt idx="0">
                  <c:v> Operating </c:v>
                </c:pt>
                <c:pt idx="1">
                  <c:v> Grant </c:v>
                </c:pt>
                <c:pt idx="2">
                  <c:v> Loan </c:v>
                </c:pt>
                <c:pt idx="3">
                  <c:v> PACE/Flex-PACE Interest Buydown </c:v>
                </c:pt>
                <c:pt idx="4">
                  <c:v> NJTF </c:v>
                </c:pt>
                <c:pt idx="5">
                  <c:v>Stocks</c:v>
                </c:pt>
                <c:pt idx="6">
                  <c:v> Land/bldg </c:v>
                </c:pt>
                <c:pt idx="7">
                  <c:v> Infrastructure </c:v>
                </c:pt>
              </c:strCache>
            </c:strRef>
          </c:cat>
          <c:val>
            <c:numRef>
              <c:f>'2010'!$E$17:$L$17</c:f>
              <c:numCache>
                <c:formatCode>_("$"* #,##0_);_("$"* \(#,##0\);_("$"* "-"??_);_(@_)</c:formatCode>
                <c:ptCount val="8"/>
                <c:pt idx="0">
                  <c:v>373000</c:v>
                </c:pt>
                <c:pt idx="1">
                  <c:v>595902</c:v>
                </c:pt>
                <c:pt idx="2">
                  <c:v>18000</c:v>
                </c:pt>
                <c:pt idx="3">
                  <c:v>16000</c:v>
                </c:pt>
                <c:pt idx="4">
                  <c:v>220000</c:v>
                </c:pt>
                <c:pt idx="6">
                  <c:v>365096</c:v>
                </c:pt>
                <c:pt idx="7" formatCode="_([$$-409]* #,##0.00_);_([$$-409]* \(#,##0.00\);_([$$-409]* &quot;-&quot;??_);_(@_)">
                  <c:v>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54-420F-B4A2-8609B3E0A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2009 Projects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575138633986545E-2"/>
          <c:y val="0.28817986293380166"/>
          <c:w val="0.81986225406034752"/>
          <c:h val="0.65757545931758898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Operating</a:t>
                    </a:r>
                  </a:p>
                  <a:p>
                    <a:r>
                      <a:rPr lang="en-US"/>
                      <a:t>$342,500
10%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51E-4BFE-A6CC-2D3D40D831C8}"/>
                </c:ext>
              </c:extLst>
            </c:dLbl>
            <c:dLbl>
              <c:idx val="1"/>
              <c:layout>
                <c:manualLayout>
                  <c:x val="9.2639078009985592E-3"/>
                  <c:y val="-3.78113152522603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Grant</a:t>
                    </a:r>
                  </a:p>
                  <a:p>
                    <a:r>
                      <a:rPr lang="en-US"/>
                      <a:t>$583,731
17%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51E-4BFE-A6CC-2D3D40D831C8}"/>
                </c:ext>
              </c:extLst>
            </c:dLbl>
            <c:dLbl>
              <c:idx val="2"/>
              <c:layout>
                <c:manualLayout>
                  <c:x val="1.5680145245002382E-2"/>
                  <c:y val="0.106641878098571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PACE Interest Buydown</a:t>
                    </a:r>
                  </a:p>
                  <a:p>
                    <a:r>
                      <a:rPr lang="en-US"/>
                      <a:t>$131,000
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51E-4BFE-A6CC-2D3D40D831C8}"/>
                </c:ext>
              </c:extLst>
            </c:dLbl>
            <c:dLbl>
              <c:idx val="3"/>
              <c:layout>
                <c:manualLayout>
                  <c:x val="-7.5609101493892217E-2"/>
                  <c:y val="-5.77613735783027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Land/Building</a:t>
                    </a:r>
                  </a:p>
                  <a:p>
                    <a:r>
                      <a:rPr lang="en-US"/>
                      <a:t>$2,048,798
58%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51E-4BFE-A6CC-2D3D40D831C8}"/>
                </c:ext>
              </c:extLst>
            </c:dLbl>
            <c:dLbl>
              <c:idx val="4"/>
              <c:layout>
                <c:manualLayout>
                  <c:x val="-7.1824739012886579E-2"/>
                  <c:y val="2.7174103237095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Infrastructure</a:t>
                    </a:r>
                  </a:p>
                  <a:p>
                    <a:r>
                      <a:rPr lang="en-US"/>
                      <a:t>$393,571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51E-4BFE-A6CC-2D3D40D831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'[1]2009'!$E$28:$I$28</c:f>
              <c:strCache>
                <c:ptCount val="5"/>
                <c:pt idx="0">
                  <c:v>Operating</c:v>
                </c:pt>
                <c:pt idx="1">
                  <c:v>Grant</c:v>
                </c:pt>
                <c:pt idx="2">
                  <c:v>Interest Buydown</c:v>
                </c:pt>
                <c:pt idx="3">
                  <c:v>Land/bldg</c:v>
                </c:pt>
                <c:pt idx="4">
                  <c:v>Infrastructure</c:v>
                </c:pt>
              </c:strCache>
            </c:strRef>
          </c:cat>
          <c:val>
            <c:numRef>
              <c:f>'[1]2009'!$E$29:$I$29</c:f>
              <c:numCache>
                <c:formatCode>General</c:formatCode>
                <c:ptCount val="5"/>
                <c:pt idx="0">
                  <c:v>342500</c:v>
                </c:pt>
                <c:pt idx="1">
                  <c:v>583731</c:v>
                </c:pt>
                <c:pt idx="2">
                  <c:v>131000</c:v>
                </c:pt>
                <c:pt idx="3">
                  <c:v>2048798</c:v>
                </c:pt>
                <c:pt idx="4">
                  <c:v>393571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1E-4BFE-A6CC-2D3D40D831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325955734406482E-2"/>
          <c:y val="0.2439024390243916"/>
          <c:w val="0.86921529175050305"/>
          <c:h val="0.59930313588850159"/>
        </c:manualLayout>
      </c:layout>
      <c:pie3DChart>
        <c:varyColors val="1"/>
        <c:ser>
          <c:idx val="0"/>
          <c:order val="0"/>
          <c:explosion val="33"/>
          <c:dLbls>
            <c:dLbl>
              <c:idx val="0"/>
              <c:layout>
                <c:manualLayout>
                  <c:x val="-0.24852196561079123"/>
                  <c:y val="-0.1675459698344975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Operating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$342,500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37%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018-4406-B39A-CBCD6C406FA2}"/>
                </c:ext>
              </c:extLst>
            </c:dLbl>
            <c:dLbl>
              <c:idx val="1"/>
              <c:layout>
                <c:manualLayout>
                  <c:x val="-1.175437163303251E-2"/>
                  <c:y val="2.7852135714104016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Grants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$224,932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25%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018-4406-B39A-CBCD6C406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18-4406-B39A-CBCD6C406FA2}"/>
                </c:ext>
              </c:extLst>
            </c:dLbl>
            <c:dLbl>
              <c:idx val="3"/>
              <c:layout>
                <c:manualLayout>
                  <c:x val="2.8814725292085397E-2"/>
                  <c:y val="8.8051143016165775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PACE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$27,35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3%5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018-4406-B39A-CBCD6C406FA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NJTF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$40,365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4%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018-4406-B39A-CBCD6C406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18-4406-B39A-CBCD6C406F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18-4406-B39A-CBCD6C406FA2}"/>
                </c:ext>
              </c:extLst>
            </c:dLbl>
            <c:dLbl>
              <c:idx val="7"/>
              <c:layout>
                <c:manualLayout>
                  <c:x val="0.10491205976950323"/>
                  <c:y val="-0.11217871265235148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Infrastructure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$279,996</a:t>
                    </a:r>
                  </a:p>
                  <a:p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31%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018-4406-B39A-CBCD6C406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'[1]2008'!$E$29:$L$29</c:f>
              <c:numCache>
                <c:formatCode>General</c:formatCode>
                <c:ptCount val="8"/>
                <c:pt idx="0">
                  <c:v>342500</c:v>
                </c:pt>
                <c:pt idx="1">
                  <c:v>224932</c:v>
                </c:pt>
                <c:pt idx="2">
                  <c:v>0</c:v>
                </c:pt>
                <c:pt idx="3">
                  <c:v>27355</c:v>
                </c:pt>
                <c:pt idx="4">
                  <c:v>40365</c:v>
                </c:pt>
                <c:pt idx="5">
                  <c:v>0</c:v>
                </c:pt>
                <c:pt idx="6">
                  <c:v>0</c:v>
                </c:pt>
                <c:pt idx="7">
                  <c:v>279996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18-4406-B39A-CBCD6C406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2007 Projects</a:t>
            </a:r>
          </a:p>
        </c:rich>
      </c:tx>
      <c:layout>
        <c:manualLayout>
          <c:xMode val="edge"/>
          <c:yMode val="edge"/>
          <c:x val="0.40629530750716225"/>
          <c:y val="3.241895261845405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89971346704934"/>
          <c:y val="0.36408977556109862"/>
          <c:w val="0.57020057306590255"/>
          <c:h val="0.3940149625935183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62-4CAA-AB2D-6A1755CCB7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62-4CAA-AB2D-6A1755CCB7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62-4CAA-AB2D-6A1755CCB77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62-4CAA-AB2D-6A1755CCB77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62-4CAA-AB2D-6A1755CCB77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62-4CAA-AB2D-6A1755CCB77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62-4CAA-AB2D-6A1755CCB77B}"/>
              </c:ext>
            </c:extLst>
          </c:dPt>
          <c:dLbls>
            <c:dLbl>
              <c:idx val="0"/>
              <c:layout>
                <c:manualLayout>
                  <c:x val="1.5967983779956337E-2"/>
                  <c:y val="-6.864832433851277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Operating</a:t>
                    </a:r>
                  </a:p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$330,000</a:t>
                    </a:r>
                  </a:p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E762-4CAA-AB2D-6A1755CCB77B}"/>
                </c:ext>
              </c:extLst>
            </c:dLbl>
            <c:dLbl>
              <c:idx val="1"/>
              <c:layout>
                <c:manualLayout>
                  <c:x val="6.8794617730097872E-3"/>
                  <c:y val="5.6364138835928917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$291,618
24%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762-4CAA-AB2D-6A1755CCB7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62-4CAA-AB2D-6A1755CCB77B}"/>
                </c:ext>
              </c:extLst>
            </c:dLbl>
            <c:dLbl>
              <c:idx val="3"/>
              <c:layout>
                <c:manualLayout>
                  <c:x val="-4.5584515464255675E-2"/>
                  <c:y val="8.8416005178197268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
 $125,000 
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62-4CAA-AB2D-6A1755CCB77B}"/>
                </c:ext>
              </c:extLst>
            </c:dLbl>
            <c:dLbl>
              <c:idx val="4"/>
              <c:layout>
                <c:manualLayout>
                  <c:x val="-3.8668972107830706E-2"/>
                  <c:y val="1.567925385262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NJTF
 $60,000 
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62-4CAA-AB2D-6A1755CCB7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62-4CAA-AB2D-6A1755CCB7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62-4CAA-AB2D-6A1755CCB77B}"/>
                </c:ext>
              </c:extLst>
            </c:dLbl>
            <c:dLbl>
              <c:idx val="7"/>
              <c:layout>
                <c:manualLayout>
                  <c:x val="6.788371769539632E-2"/>
                  <c:y val="-9.3585980198862911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Infrastructure
 $429,996 
35%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762-4CAA-AB2D-6A1755CCB7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'[1]2007'!$E$31:$L$31</c:f>
              <c:numCache>
                <c:formatCode>General</c:formatCode>
                <c:ptCount val="8"/>
                <c:pt idx="0">
                  <c:v>330000</c:v>
                </c:pt>
                <c:pt idx="1">
                  <c:v>291618</c:v>
                </c:pt>
                <c:pt idx="2">
                  <c:v>0</c:v>
                </c:pt>
                <c:pt idx="3">
                  <c:v>125000</c:v>
                </c:pt>
                <c:pt idx="4">
                  <c:v>60000</c:v>
                </c:pt>
                <c:pt idx="5">
                  <c:v>0</c:v>
                </c:pt>
                <c:pt idx="6">
                  <c:v>0</c:v>
                </c:pt>
                <c:pt idx="7">
                  <c:v>429996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762-4CAA-AB2D-6A1755CCB77B}"/>
            </c:ext>
          </c:extLst>
        </c:ser>
        <c:dLbls>
          <c:showLegendKey val="0"/>
          <c:showVal val="1"/>
          <c:showCatName val="0"/>
          <c:showSerName val="1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2006 Projects</a:t>
            </a:r>
          </a:p>
        </c:rich>
      </c:tx>
      <c:layout>
        <c:manualLayout>
          <c:xMode val="edge"/>
          <c:yMode val="edge"/>
          <c:x val="0.40544412607449881"/>
          <c:y val="3.241895261845405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89971346704928"/>
          <c:y val="0.36408977556109851"/>
          <c:w val="0.57020057306590255"/>
          <c:h val="0.3940149625935181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E2-4D60-A4E7-EFD51BFBA4C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E2-4D60-A4E7-EFD51BFBA4C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E2-4D60-A4E7-EFD51BFBA4C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E2-4D60-A4E7-EFD51BFBA4C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E2-4D60-A4E7-EFD51BFBA4C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E2-4D60-A4E7-EFD51BFBA4C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E2-4D60-A4E7-EFD51BFBA4C6}"/>
              </c:ext>
            </c:extLst>
          </c:dPt>
          <c:dLbls>
            <c:dLbl>
              <c:idx val="0"/>
              <c:layout>
                <c:manualLayout>
                  <c:x val="1.5967983779956337E-2"/>
                  <c:y val="-6.864832433851277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$290,000 
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17E2-4D60-A4E7-EFD51BFBA4C6}"/>
                </c:ext>
              </c:extLst>
            </c:dLbl>
            <c:dLbl>
              <c:idx val="1"/>
              <c:layout>
                <c:manualLayout>
                  <c:x val="6.8794617730097837E-3"/>
                  <c:y val="5.6364138835928897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$4,793,459 
60%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7E2-4D60-A4E7-EFD51BFBA4C6}"/>
                </c:ext>
              </c:extLst>
            </c:dLbl>
            <c:dLbl>
              <c:idx val="2"/>
              <c:layout>
                <c:manualLayout>
                  <c:x val="7.2032317761962325E-2"/>
                  <c:y val="0.13813381639850467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$450,000 
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7E2-4D60-A4E7-EFD51BFBA4C6}"/>
                </c:ext>
              </c:extLst>
            </c:dLbl>
            <c:dLbl>
              <c:idx val="3"/>
              <c:layout>
                <c:manualLayout>
                  <c:x val="-4.5584515464255675E-2"/>
                  <c:y val="8.8416005178197268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
 $35,000 
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7E2-4D60-A4E7-EFD51BFBA4C6}"/>
                </c:ext>
              </c:extLst>
            </c:dLbl>
            <c:dLbl>
              <c:idx val="4"/>
              <c:layout>
                <c:manualLayout>
                  <c:x val="-3.8668968098681734E-2"/>
                  <c:y val="-5.0280808693772508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NJTF
 $72,523 
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7E2-4D60-A4E7-EFD51BFBA4C6}"/>
                </c:ext>
              </c:extLst>
            </c:dLbl>
            <c:dLbl>
              <c:idx val="5"/>
              <c:layout>
                <c:manualLayout>
                  <c:x val="-1.8206372624651124E-2"/>
                  <c:y val="-8.414274731391419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Stocks
 $2,000,000 
25%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7E2-4D60-A4E7-EFD51BFBA4C6}"/>
                </c:ext>
              </c:extLst>
            </c:dLbl>
            <c:dLbl>
              <c:idx val="6"/>
              <c:layout>
                <c:manualLayout>
                  <c:x val="-3.5055286087211882E-2"/>
                  <c:y val="-6.0746845783388466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Land/Bldg
 $27,500 
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7E2-4D60-A4E7-EFD51BFBA4C6}"/>
                </c:ext>
              </c:extLst>
            </c:dLbl>
            <c:dLbl>
              <c:idx val="7"/>
              <c:layout>
                <c:manualLayout>
                  <c:x val="6.7883717695396292E-2"/>
                  <c:y val="-9.3585980198862814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Infrastructure
 $279,996 
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17E2-4D60-A4E7-EFD51BFBA4C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'[1]2006'!$E$38:$L$38</c:f>
              <c:numCache>
                <c:formatCode>General</c:formatCode>
                <c:ptCount val="8"/>
                <c:pt idx="0">
                  <c:v>290000</c:v>
                </c:pt>
                <c:pt idx="1">
                  <c:v>4793459</c:v>
                </c:pt>
                <c:pt idx="2">
                  <c:v>450000</c:v>
                </c:pt>
                <c:pt idx="3">
                  <c:v>35000</c:v>
                </c:pt>
                <c:pt idx="4">
                  <c:v>72523</c:v>
                </c:pt>
                <c:pt idx="5">
                  <c:v>2000000</c:v>
                </c:pt>
                <c:pt idx="6">
                  <c:v>27500</c:v>
                </c:pt>
                <c:pt idx="7">
                  <c:v>279996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E2-4D60-A4E7-EFD51BFBA4C6}"/>
            </c:ext>
          </c:extLst>
        </c:ser>
        <c:dLbls>
          <c:showLegendKey val="0"/>
          <c:showVal val="1"/>
          <c:showCatName val="0"/>
          <c:showSerName val="1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2005 Expenditures</a:t>
            </a:r>
          </a:p>
        </c:rich>
      </c:tx>
      <c:layout>
        <c:manualLayout>
          <c:xMode val="edge"/>
          <c:yMode val="edge"/>
          <c:x val="0.39514978601997314"/>
          <c:y val="3.241895261845405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10413694721826"/>
          <c:y val="0.39900249376558816"/>
          <c:w val="0.45791726105563624"/>
          <c:h val="0.316708229426433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D2-4477-9405-90C2FE131B3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D2-4477-9405-90C2FE131B3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D2-4477-9405-90C2FE131B3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D2-4477-9405-90C2FE131B3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ED2-4477-9405-90C2FE131B3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ED2-4477-9405-90C2FE131B3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ED2-4477-9405-90C2FE131B3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$276,323
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9ED2-4477-9405-90C2FE131B3B}"/>
                </c:ext>
              </c:extLst>
            </c:dLbl>
            <c:dLbl>
              <c:idx val="1"/>
              <c:layout>
                <c:manualLayout>
                  <c:x val="-9.221681811884784E-2"/>
                  <c:y val="0.13693235806078771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$2,186,673
41%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ED2-4477-9405-90C2FE131B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$714,166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ED2-4477-9405-90C2FE131B3B}"/>
                </c:ext>
              </c:extLst>
            </c:dLbl>
            <c:dLbl>
              <c:idx val="3"/>
              <c:layout>
                <c:manualLayout>
                  <c:x val="1.4130993968122018E-2"/>
                  <c:y val="8.5495930268058004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PACE/
Interest Buydown
$275,480
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ED2-4477-9405-90C2FE131B3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NJTF
$1,102,968
21%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ED2-4477-9405-90C2FE131B3B}"/>
                </c:ext>
              </c:extLst>
            </c:dLbl>
            <c:dLbl>
              <c:idx val="5"/>
              <c:layout>
                <c:manualLayout>
                  <c:x val="-5.1425747245217736E-2"/>
                  <c:y val="-3.7571406356853215E-2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Stocks
$30,000
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ED2-4477-9405-90C2FE131B3B}"/>
                </c:ext>
              </c:extLst>
            </c:dLbl>
            <c:dLbl>
              <c:idx val="6"/>
              <c:layout>
                <c:manualLayout>
                  <c:x val="3.834057832642529E-2"/>
                  <c:y val="-0.11495715366836944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Land/Bldg
$213,333
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9ED2-4477-9405-90C2FE131B3B}"/>
                </c:ext>
              </c:extLst>
            </c:dLbl>
            <c:dLbl>
              <c:idx val="7"/>
              <c:layout>
                <c:manualLayout>
                  <c:x val="6.2330753591607023E-2"/>
                  <c:y val="-0.1162597298024385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Infrastructure
$535,852
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9ED2-4477-9405-90C2FE131B3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'[1]2005'!$E$43:$L$43</c:f>
              <c:numCache>
                <c:formatCode>General</c:formatCode>
                <c:ptCount val="8"/>
                <c:pt idx="0">
                  <c:v>276323</c:v>
                </c:pt>
                <c:pt idx="1">
                  <c:v>2186672.7599999998</c:v>
                </c:pt>
                <c:pt idx="2">
                  <c:v>714166</c:v>
                </c:pt>
                <c:pt idx="3">
                  <c:v>275479.83999999997</c:v>
                </c:pt>
                <c:pt idx="4">
                  <c:v>1102968</c:v>
                </c:pt>
                <c:pt idx="5">
                  <c:v>30000</c:v>
                </c:pt>
                <c:pt idx="6">
                  <c:v>213333</c:v>
                </c:pt>
                <c:pt idx="7">
                  <c:v>535852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ED2-4477-9405-90C2FE131B3B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2004 Expenditures</a:t>
            </a:r>
          </a:p>
        </c:rich>
      </c:tx>
      <c:layout>
        <c:manualLayout>
          <c:xMode val="edge"/>
          <c:yMode val="edge"/>
          <c:x val="0.38719512195121952"/>
          <c:y val="3.2745591939546598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951219512195225"/>
          <c:y val="0.37279642828590931"/>
          <c:w val="0.5625"/>
          <c:h val="0.37027753350019371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Operating
 $200,000 
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9DF-466F-804B-E4F30DD93C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Grant
 $2,018,165 
45%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9DF-466F-804B-E4F30DD93C77}"/>
                </c:ext>
              </c:extLst>
            </c:dLbl>
            <c:dLbl>
              <c:idx val="2"/>
              <c:layout>
                <c:manualLayout>
                  <c:x val="0.10194750448832963"/>
                  <c:y val="5.3036662997114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Loan
 $385,000 
9%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9DF-466F-804B-E4F30DD93C77}"/>
                </c:ext>
              </c:extLst>
            </c:dLbl>
            <c:dLbl>
              <c:idx val="3"/>
              <c:layout>
                <c:manualLayout>
                  <c:x val="2.3950671260484637E-2"/>
                  <c:y val="0.1147257207951696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NJTF
 $20,000 
0%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9DF-466F-804B-E4F30DD93C77}"/>
                </c:ext>
              </c:extLst>
            </c:dLbl>
            <c:dLbl>
              <c:idx val="4"/>
              <c:layout>
                <c:manualLayout>
                  <c:x val="-7.8163648982731926E-2"/>
                  <c:y val="0.1307271091904378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Stocks
 $153,085 
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9DF-466F-804B-E4F30DD93C77}"/>
                </c:ext>
              </c:extLst>
            </c:dLbl>
            <c:dLbl>
              <c:idx val="5"/>
              <c:layout>
                <c:manualLayout>
                  <c:x val="-9.8929337196436234E-2"/>
                  <c:y val="-4.383483944106632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Land/Bldg
 $250,550 
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9DF-466F-804B-E4F30DD93C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Infrastructure
 $1,410,163 
32%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9DF-466F-804B-E4F30DD93C7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('[1]2004'!$E$28,'[1]2004'!$F$28,'[1]2004'!$G$28,'[1]2004'!$H$28,'[1]2004'!$I$28,'[1]2004'!$K$28,'[1]2004'!$L$28)</c:f>
              <c:numCache>
                <c:formatCode>General</c:formatCode>
                <c:ptCount val="7"/>
                <c:pt idx="0">
                  <c:v>200000</c:v>
                </c:pt>
                <c:pt idx="1">
                  <c:v>2018164.67</c:v>
                </c:pt>
                <c:pt idx="2">
                  <c:v>385000</c:v>
                </c:pt>
                <c:pt idx="3">
                  <c:v>20000</c:v>
                </c:pt>
                <c:pt idx="4">
                  <c:v>153085.24</c:v>
                </c:pt>
                <c:pt idx="5">
                  <c:v>250550</c:v>
                </c:pt>
                <c:pt idx="6">
                  <c:v>1410162.94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DF-466F-804B-E4F30DD93C77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</a:t>
            </a:r>
            <a:r>
              <a:rPr lang="en-US" baseline="0"/>
              <a:t> Project Expenditure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38-41C5-8706-849EC6F67A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38-41C5-8706-849EC6F67A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38-41C5-8706-849EC6F67A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38-41C5-8706-849EC6F67A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663-409D-994B-B3171A8228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63-409D-994B-B3171A82288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038-41C5-8706-849EC6F67A8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038-41C5-8706-849EC6F67A8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038-41C5-8706-849EC6F67A8F}"/>
              </c:ext>
            </c:extLst>
          </c:dPt>
          <c:dLbls>
            <c:dLbl>
              <c:idx val="4"/>
              <c:layout>
                <c:manualLayout>
                  <c:x val="2.2743426746735049E-3"/>
                  <c:y val="-1.2298944593303167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3-409D-994B-B3171A822888}"/>
                </c:ext>
              </c:extLst>
            </c:dLbl>
            <c:dLbl>
              <c:idx val="5"/>
              <c:layout>
                <c:manualLayout>
                  <c:x val="-4.3212331736697022E-2"/>
                  <c:y val="-3.354296365025500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52603647794935"/>
                      <c:h val="9.71739656947923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663-409D-994B-B3171A8228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Cumulative!$E$2:$M$2</c:f>
              <c:strCache>
                <c:ptCount val="9"/>
                <c:pt idx="0">
                  <c:v> Operating </c:v>
                </c:pt>
                <c:pt idx="1">
                  <c:v> Grant </c:v>
                </c:pt>
                <c:pt idx="2">
                  <c:v> APUC Grant* </c:v>
                </c:pt>
                <c:pt idx="3">
                  <c:v> Loan </c:v>
                </c:pt>
                <c:pt idx="4">
                  <c:v> PACE/Flex PACE Interest Buydown </c:v>
                </c:pt>
                <c:pt idx="5">
                  <c:v> NJTF </c:v>
                </c:pt>
                <c:pt idx="6">
                  <c:v>Stocks</c:v>
                </c:pt>
                <c:pt idx="7">
                  <c:v> Land/Building </c:v>
                </c:pt>
                <c:pt idx="8">
                  <c:v> Infrastructure </c:v>
                </c:pt>
              </c:strCache>
            </c:strRef>
          </c:cat>
          <c:val>
            <c:numRef>
              <c:f>Cumulative!$E$3:$M$3</c:f>
              <c:numCache>
                <c:formatCode>"$"#,##0.00_);\("$"#,##0.00\)</c:formatCode>
                <c:ptCount val="9"/>
                <c:pt idx="0" formatCode="_(&quot;$&quot;* #,##0.00_);_(&quot;$&quot;* \(#,##0.00\);_(&quot;$&quot;* &quot;-&quot;??_);_(@_)">
                  <c:v>8359547</c:v>
                </c:pt>
                <c:pt idx="1">
                  <c:v>20196259.869999997</c:v>
                </c:pt>
                <c:pt idx="2">
                  <c:v>235000</c:v>
                </c:pt>
                <c:pt idx="3">
                  <c:v>4494271.1399999997</c:v>
                </c:pt>
                <c:pt idx="4">
                  <c:v>5086743.13</c:v>
                </c:pt>
                <c:pt idx="5">
                  <c:v>2374188.2400000002</c:v>
                </c:pt>
                <c:pt idx="6">
                  <c:v>6434000</c:v>
                </c:pt>
                <c:pt idx="7">
                  <c:v>6583592.9800000004</c:v>
                </c:pt>
                <c:pt idx="8">
                  <c:v>14288190.149999999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3-409D-994B-B3171A8228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2003 Expenditures</a:t>
            </a:r>
          </a:p>
        </c:rich>
      </c:tx>
      <c:layout>
        <c:manualLayout>
          <c:xMode val="edge"/>
          <c:yMode val="edge"/>
          <c:x val="0.39106145251396646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11768417874945"/>
          <c:y val="0.37464840263039534"/>
          <c:w val="0.5996286509773826"/>
          <c:h val="0.35774697093278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2A-4A91-B4DD-CE739743FD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2A-4A91-B4DD-CE739743FD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2A-4A91-B4DD-CE739743FD2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2A-4A91-B4DD-CE739743FD2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('[1]2003'!$E$22,'[1]2003'!$F$22,'[1]2003'!$G$22,'[1]2003'!$K$22,'[1]2003'!$L$22)</c:f>
              <c:numCache>
                <c:formatCode>General</c:formatCode>
                <c:ptCount val="5"/>
                <c:pt idx="0">
                  <c:v>200000</c:v>
                </c:pt>
                <c:pt idx="1">
                  <c:v>539396.06000000006</c:v>
                </c:pt>
                <c:pt idx="2">
                  <c:v>324264.45999999996</c:v>
                </c:pt>
                <c:pt idx="3">
                  <c:v>10000</c:v>
                </c:pt>
                <c:pt idx="4">
                  <c:v>279996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2A-4A91-B4DD-CE739743FD2D}"/>
            </c:ext>
          </c:extLst>
        </c:ser>
        <c:dLbls>
          <c:showLegendKey val="0"/>
          <c:showVal val="1"/>
          <c:showCatName val="0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2002 Expenditures</a:t>
            </a:r>
          </a:p>
        </c:rich>
      </c:tx>
      <c:layout>
        <c:manualLayout>
          <c:xMode val="edge"/>
          <c:yMode val="edge"/>
          <c:x val="0.39065420560747866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00018253521407"/>
          <c:y val="0.37464840263039534"/>
          <c:w val="0.60186970819008379"/>
          <c:h val="0.35774697093278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70-4BFB-97BF-DCBF247951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70-4BFB-97BF-DCBF247951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70-4BFB-97BF-DCBF2479517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70-4BFB-97BF-DCBF2479517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070-4BFB-97BF-DCBF247951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('[1]2002'!$E$14,'[1]2002'!$F$14,'[1]2002'!$G$14,'[1]2002'!$H$14,'[1]2002'!$K$14,'[1]2002'!$L$14)</c:f>
              <c:numCache>
                <c:formatCode>General</c:formatCode>
                <c:ptCount val="6"/>
                <c:pt idx="0">
                  <c:v>200000</c:v>
                </c:pt>
                <c:pt idx="1">
                  <c:v>228866.73</c:v>
                </c:pt>
                <c:pt idx="2">
                  <c:v>100000</c:v>
                </c:pt>
                <c:pt idx="3">
                  <c:v>174973.47</c:v>
                </c:pt>
                <c:pt idx="4">
                  <c:v>65000</c:v>
                </c:pt>
                <c:pt idx="5">
                  <c:v>279996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70-4BFB-97BF-DCBF2479517E}"/>
            </c:ext>
          </c:extLst>
        </c:ser>
        <c:dLbls>
          <c:showLegendKey val="0"/>
          <c:showVal val="1"/>
          <c:showCatName val="0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2001 Expenditures</a:t>
            </a:r>
          </a:p>
        </c:rich>
      </c:tx>
      <c:layout>
        <c:manualLayout>
          <c:xMode val="edge"/>
          <c:yMode val="edge"/>
          <c:x val="0.39165009940357881"/>
          <c:y val="3.37078651685394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74751491053678"/>
          <c:y val="0.38764044943820231"/>
          <c:w val="0.58449304174950256"/>
          <c:h val="0.328651685393260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19-4AFA-A455-01DF44B95B7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19-4AFA-A455-01DF44B95B7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19-4AFA-A455-01DF44B95B7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19-4AFA-A455-01DF44B95B7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19-4AFA-A455-01DF44B95B7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('[1]2001'!$E$21:$F$21,'[1]2001'!$H$21,'[1]2001'!$J$21,'[1]2001'!$K$21,'[1]2001'!$L$21)</c:f>
              <c:numCache>
                <c:formatCode>General</c:formatCode>
                <c:ptCount val="6"/>
                <c:pt idx="0">
                  <c:v>134175</c:v>
                </c:pt>
                <c:pt idx="1">
                  <c:v>513251</c:v>
                </c:pt>
                <c:pt idx="2">
                  <c:v>20242.62</c:v>
                </c:pt>
                <c:pt idx="3">
                  <c:v>384000</c:v>
                </c:pt>
                <c:pt idx="4">
                  <c:v>168000</c:v>
                </c:pt>
                <c:pt idx="5">
                  <c:v>480341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19-4AFA-A455-01DF44B95B72}"/>
            </c:ext>
          </c:extLst>
        </c:ser>
        <c:dLbls>
          <c:showLegendKey val="0"/>
          <c:showVal val="1"/>
          <c:showCatName val="0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2000 Expenditures</a:t>
            </a:r>
          </a:p>
        </c:rich>
      </c:tx>
      <c:layout>
        <c:manualLayout>
          <c:xMode val="edge"/>
          <c:yMode val="edge"/>
          <c:x val="0.39250493096647143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260401758971584"/>
          <c:y val="0.40563436074268477"/>
          <c:w val="0.5167662813699605"/>
          <c:h val="0.2929581494252718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64-4B00-998C-AC3A667FF97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64-4B00-998C-AC3A667FF97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64-4B00-998C-AC3A667FF97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64-4B00-998C-AC3A667FF97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64-4B00-998C-AC3A667FF97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764-4B00-998C-AC3A667FF97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$127,850 
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764-4B00-998C-AC3A667FF9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$513,454 
34%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764-4B00-998C-AC3A667FF9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$220,000 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764-4B00-998C-AC3A667FF9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
 $10,000 
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764-4B00-998C-AC3A667FF97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Stocks
 $376,000 
25%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764-4B00-998C-AC3A667FF9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Land/Bldg
 $5,000 
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764-4B00-998C-AC3A667FF97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Infrastructure
 $279,996 
18%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764-4B00-998C-AC3A667FF97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('[1]2000'!$E$22,'[1]2000'!$F$22,'[1]2000'!$G$22,'[1]2000'!$H$22,'[1]2000'!$J$22,'[1]2000'!$K$22,'[1]2000'!$L$22)</c:f>
              <c:numCache>
                <c:formatCode>General</c:formatCode>
                <c:ptCount val="7"/>
                <c:pt idx="0">
                  <c:v>127850</c:v>
                </c:pt>
                <c:pt idx="1">
                  <c:v>513454.22</c:v>
                </c:pt>
                <c:pt idx="2">
                  <c:v>220000</c:v>
                </c:pt>
                <c:pt idx="3">
                  <c:v>10000</c:v>
                </c:pt>
                <c:pt idx="4">
                  <c:v>376000</c:v>
                </c:pt>
                <c:pt idx="5">
                  <c:v>5000</c:v>
                </c:pt>
                <c:pt idx="6">
                  <c:v>279996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64-4B00-998C-AC3A667FF972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1999 Expenditures</a:t>
            </a:r>
          </a:p>
        </c:rich>
      </c:tx>
      <c:layout>
        <c:manualLayout>
          <c:xMode val="edge"/>
          <c:yMode val="edge"/>
          <c:x val="0.38120567375886727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9507475737402"/>
          <c:y val="0.38028221319626793"/>
          <c:w val="0.54787328906473198"/>
          <c:h val="0.346479349801043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E6-4150-A04B-88A4627875F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FE6-4150-A04B-88A4627875F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FE6-4150-A04B-88A4627875F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$110,600 
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FE6-4150-A04B-88A4627875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$254,279 
24%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FE6-4150-A04B-88A4627875F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$35,000 
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FE6-4150-A04B-88A4627875F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Infrastructure
 $672,475 
63%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FE6-4150-A04B-88A4627875F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('[1]1999'!$E$12,'[1]1999'!$F$12,'[1]1999'!$G$12,'[1]1999'!$L$12)</c:f>
              <c:numCache>
                <c:formatCode>General</c:formatCode>
                <c:ptCount val="4"/>
                <c:pt idx="0">
                  <c:v>110600</c:v>
                </c:pt>
                <c:pt idx="1">
                  <c:v>254279</c:v>
                </c:pt>
                <c:pt idx="2">
                  <c:v>35000</c:v>
                </c:pt>
                <c:pt idx="3">
                  <c:v>672475.49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E6-4150-A04B-88A4627875FC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1998 Expenditures</a:t>
            </a:r>
          </a:p>
        </c:rich>
      </c:tx>
      <c:layout>
        <c:manualLayout>
          <c:xMode val="edge"/>
          <c:yMode val="edge"/>
          <c:x val="0.37992831541218774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759896463192494"/>
          <c:y val="0.38309911847920131"/>
          <c:w val="0.54659593868296841"/>
          <c:h val="0.3436624445181067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B5-43AF-8593-0E8331B0712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B5-43AF-8593-0E8331B0712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B5-43AF-8593-0E8331B0712C}"/>
              </c:ext>
            </c:extLst>
          </c:dPt>
          <c:dLbls>
            <c:dLbl>
              <c:idx val="0"/>
              <c:layout>
                <c:manualLayout>
                  <c:x val="-1.0531365736105181E-2"/>
                  <c:y val="-5.9195707783888024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$110,000 
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4B5-43AF-8593-0E8331B071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$180,000 
16%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4B5-43AF-8593-0E8331B071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$195,000 
17%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4B5-43AF-8593-0E8331B071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Infrastructure
 $671,910 
57%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4B5-43AF-8593-0E8331B0712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('[1]1998'!$E$11,'[1]1998'!$F$11,'[1]1998'!$G$11,'[1]1998'!$L$11)</c:f>
              <c:numCache>
                <c:formatCode>General</c:formatCode>
                <c:ptCount val="4"/>
                <c:pt idx="0">
                  <c:v>110000</c:v>
                </c:pt>
                <c:pt idx="1">
                  <c:v>180000</c:v>
                </c:pt>
                <c:pt idx="2">
                  <c:v>195000</c:v>
                </c:pt>
                <c:pt idx="3">
                  <c:v>671910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B5-43AF-8593-0E8331B0712C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1997 Expenditures</a:t>
            </a:r>
          </a:p>
        </c:rich>
      </c:tx>
      <c:layout>
        <c:manualLayout>
          <c:xMode val="edge"/>
          <c:yMode val="edge"/>
          <c:x val="0.3902439024390244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52157598499063"/>
          <c:y val="0.39154983432800738"/>
          <c:w val="0.53283302063789872"/>
          <c:h val="0.3211272022546265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2A-4168-9CAF-B55ED0DEE5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2A-4168-9CAF-B55ED0DEE5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2A-4168-9CAF-B55ED0DEE5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B2A-4168-9CAF-B55ED0DEE5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B2A-4168-9CAF-B55ED0DEE53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$110,000 
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B2A-4168-9CAF-B55ED0DEE5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$133,000 
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B2A-4168-9CAF-B55ED0DEE53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$90,000 
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B2A-4168-9CAF-B55ED0DEE53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
 $128,481 
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B2A-4168-9CAF-B55ED0DEE53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Land/Bldg
 $184,825 
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B2A-4168-9CAF-B55ED0DEE53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Infrastructure
 $925,000 
59%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B2A-4168-9CAF-B55ED0DEE53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('[1]1997'!$E$12,'[1]1997'!$F$12,'[1]1997'!$G$12,'[1]1997'!$H$12,'[1]1997'!$K$12,'[1]1997'!$L$12)</c:f>
              <c:numCache>
                <c:formatCode>General</c:formatCode>
                <c:ptCount val="6"/>
                <c:pt idx="0">
                  <c:v>110000</c:v>
                </c:pt>
                <c:pt idx="1">
                  <c:v>133000</c:v>
                </c:pt>
                <c:pt idx="2">
                  <c:v>90000</c:v>
                </c:pt>
                <c:pt idx="3">
                  <c:v>128481.31</c:v>
                </c:pt>
                <c:pt idx="4">
                  <c:v>184825</c:v>
                </c:pt>
                <c:pt idx="5">
                  <c:v>925000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2A-4168-9CAF-B55ED0DEE53C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1996 Expenditures</a:t>
            </a:r>
          </a:p>
        </c:rich>
      </c:tx>
      <c:layout>
        <c:manualLayout>
          <c:xMode val="edge"/>
          <c:yMode val="edge"/>
          <c:x val="0.38854805725971536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948925080132373"/>
          <c:y val="0.41408507659148958"/>
          <c:w val="0.50306848932069859"/>
          <c:h val="0.2760567177276617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2A-44D3-A609-05200A9694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2A-44D3-A609-05200A9694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2A-44D3-A609-05200A9694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72A-44D3-A609-05200A96943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72A-44D3-A609-05200A96943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$99,800 
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72A-44D3-A609-05200A9694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$120,000 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72A-44D3-A609-05200A9694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
 $78,894 
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72A-44D3-A609-05200A969433}"/>
                </c:ext>
              </c:extLst>
            </c:dLbl>
            <c:dLbl>
              <c:idx val="3"/>
              <c:layout>
                <c:manualLayout>
                  <c:x val="-2.0416556088123042E-2"/>
                  <c:y val="6.114762561173767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Stocks
 $50,000 
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72A-44D3-A609-05200A969433}"/>
                </c:ext>
              </c:extLst>
            </c:dLbl>
            <c:dLbl>
              <c:idx val="4"/>
              <c:layout>
                <c:manualLayout>
                  <c:x val="-5.3026023602809363E-2"/>
                  <c:y val="6.92452771636300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Land/Bldg
 $50,000 
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72A-44D3-A609-05200A96943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Infrastructure
 $500,000 
55%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C72A-44D3-A609-05200A96943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('[1]1996'!$E$12,'[1]1996'!$G$12,'[1]1996'!$H$12,'[1]1996'!$J$12,'[1]1996'!$K$12,'[1]1996'!$L$12)</c:f>
              <c:numCache>
                <c:formatCode>General</c:formatCode>
                <c:ptCount val="6"/>
                <c:pt idx="0">
                  <c:v>99800</c:v>
                </c:pt>
                <c:pt idx="1">
                  <c:v>120000</c:v>
                </c:pt>
                <c:pt idx="2">
                  <c:v>78893.77</c:v>
                </c:pt>
                <c:pt idx="3">
                  <c:v>50000</c:v>
                </c:pt>
                <c:pt idx="4">
                  <c:v>50000</c:v>
                </c:pt>
                <c:pt idx="5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A-44D3-A609-05200A969433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1995 Expenditures</a:t>
            </a:r>
          </a:p>
        </c:rich>
      </c:tx>
      <c:layout>
        <c:manualLayout>
          <c:xMode val="edge"/>
          <c:yMode val="edge"/>
          <c:x val="0.38945233265720242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92091519645664"/>
          <c:y val="0.40281745545974962"/>
          <c:w val="0.54361108607525477"/>
          <c:h val="0.298591959991142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9D-4077-A57C-133ACC5827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9D-4077-A57C-133ACC5827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9D-4077-A57C-133ACC582748}"/>
              </c:ext>
            </c:extLst>
          </c:dPt>
          <c:dLbls>
            <c:dLbl>
              <c:idx val="0"/>
              <c:layout>
                <c:manualLayout>
                  <c:x val="-0.11527113256193303"/>
                  <c:y val="-5.206397424193384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$112,300 
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E9D-4077-A57C-133ACC582748}"/>
                </c:ext>
              </c:extLst>
            </c:dLbl>
            <c:dLbl>
              <c:idx val="1"/>
              <c:layout>
                <c:manualLayout>
                  <c:x val="-4.6889022027373304E-3"/>
                  <c:y val="-9.854480464665642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$97,500 
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E9D-4077-A57C-133ACC582748}"/>
                </c:ext>
              </c:extLst>
            </c:dLbl>
            <c:dLbl>
              <c:idx val="2"/>
              <c:layout>
                <c:manualLayout>
                  <c:x val="7.5577193260557257E-2"/>
                  <c:y val="-4.347686907955084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
 $34,066 
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E9D-4077-A57C-133ACC5827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Stocks
 $2,720,000 
92%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E9D-4077-A57C-133ACC58274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('[1]1995'!$E$12,'[1]1995'!$G$12,'[1]1995'!$H$12,'[1]1995'!$J$12)</c:f>
              <c:numCache>
                <c:formatCode>General</c:formatCode>
                <c:ptCount val="4"/>
                <c:pt idx="0">
                  <c:v>112300</c:v>
                </c:pt>
                <c:pt idx="1">
                  <c:v>97500</c:v>
                </c:pt>
                <c:pt idx="2">
                  <c:v>34066</c:v>
                </c:pt>
                <c:pt idx="3">
                  <c:v>2720000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9D-4077-A57C-133ACC582748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1994 Expenditures</a:t>
            </a:r>
          </a:p>
        </c:rich>
      </c:tx>
      <c:layout>
        <c:manualLayout>
          <c:xMode val="edge"/>
          <c:yMode val="edge"/>
          <c:x val="0.38589211618257407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369294605809144"/>
          <c:y val="0.39436673961094576"/>
          <c:w val="0.57468879668050232"/>
          <c:h val="0.3126764864058200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89-4A6A-B9BC-30CA16101A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89-4A6A-B9BC-30CA16101A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89-4A6A-B9BC-30CA16101AE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89-4A6A-B9BC-30CA16101AE0}"/>
              </c:ext>
            </c:extLst>
          </c:dPt>
          <c:dLbls>
            <c:dLbl>
              <c:idx val="0"/>
              <c:layout>
                <c:manualLayout>
                  <c:x val="-0.10898378366604602"/>
                  <c:y val="-5.0686727737504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$99,700 
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589-4A6A-B9BC-30CA16101AE0}"/>
                </c:ext>
              </c:extLst>
            </c:dLbl>
            <c:dLbl>
              <c:idx val="1"/>
              <c:layout>
                <c:manualLayout>
                  <c:x val="3.1134272116400488E-2"/>
                  <c:y val="-0.128126880490830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$2,500 
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589-4A6A-B9BC-30CA16101A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$228,000 
17%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589-4A6A-B9BC-30CA16101AE0}"/>
                </c:ext>
              </c:extLst>
            </c:dLbl>
            <c:dLbl>
              <c:idx val="3"/>
              <c:layout>
                <c:manualLayout>
                  <c:x val="7.003408806264373E-3"/>
                  <c:y val="4.370473696565182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
 $402,887 
29%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589-4A6A-B9BC-30CA16101AE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Stocks
 $634,000 
47%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589-4A6A-B9BC-30CA16101AE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('[1]1994'!$E$13,'[1]1994'!$F$13,'[1]1994'!$G$13,'[1]1994'!$H$13,'[1]1994'!$J$13)</c:f>
              <c:numCache>
                <c:formatCode>General</c:formatCode>
                <c:ptCount val="5"/>
                <c:pt idx="0">
                  <c:v>99700</c:v>
                </c:pt>
                <c:pt idx="1">
                  <c:v>2500</c:v>
                </c:pt>
                <c:pt idx="2">
                  <c:v>228000</c:v>
                </c:pt>
                <c:pt idx="3">
                  <c:v>402887</c:v>
                </c:pt>
                <c:pt idx="4">
                  <c:v>634000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89-4A6A-B9BC-30CA16101AE0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</a:t>
            </a:r>
            <a:r>
              <a:rPr lang="en-US" baseline="0"/>
              <a:t> Funds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271-40C6-BD52-FB4C70A2F3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271-40C6-BD52-FB4C70A2F3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271-40C6-BD52-FB4C70A2F38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6271-40C6-BD52-FB4C70A2F38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6271-40C6-BD52-FB4C70A2F38A}"/>
              </c:ext>
            </c:extLst>
          </c:dPt>
          <c:dLbls>
            <c:numFmt formatCode="&quot;$&quot;#,##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'2020'!$D$2:$L$2</c15:sqref>
                  </c15:fullRef>
                </c:ext>
              </c:extLst>
              <c:f>('2020'!$D$2:$E$2,'2020'!$H$2,'2020'!$L$2)</c:f>
              <c:strCache>
                <c:ptCount val="4"/>
                <c:pt idx="0">
                  <c:v>Operating</c:v>
                </c:pt>
                <c:pt idx="1">
                  <c:v>Grant</c:v>
                </c:pt>
                <c:pt idx="2">
                  <c:v>PACE/Flex-PACE Interest Buy down Loan</c:v>
                </c:pt>
                <c:pt idx="3">
                  <c:v>Infrastructure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'2020'!$D$18:$L$18</c15:sqref>
                  </c15:fullRef>
                </c:ext>
              </c:extLst>
              <c:f>('2020'!$D$18:$E$18,'2020'!$H$18,'2020'!$L$18)</c:f>
              <c:numCache>
                <c:formatCode>"$"#,##0.00</c:formatCode>
                <c:ptCount val="4"/>
                <c:pt idx="0">
                  <c:v>520058</c:v>
                </c:pt>
                <c:pt idx="1">
                  <c:v>105000</c:v>
                </c:pt>
                <c:pt idx="2">
                  <c:v>497782</c:v>
                </c:pt>
                <c:pt idx="3">
                  <c:v>47400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'2020'!$F$18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3">
                            <a:shade val="51000"/>
                            <a:satMod val="130000"/>
                          </a:schemeClr>
                        </a:gs>
                        <a:gs pos="80000">
                          <a:schemeClr val="accent3">
                            <a:shade val="93000"/>
                            <a:satMod val="130000"/>
                          </a:schemeClr>
                        </a:gs>
                        <a:gs pos="100000">
                          <a:schemeClr val="accent3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15:spPr>
                  <c15:bubble3D val="0"/>
                </c15:categoryFilterException>
                <c15:categoryFilterException>
                  <c15:sqref>'2020'!$G$18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4">
                            <a:shade val="51000"/>
                            <a:satMod val="130000"/>
                          </a:schemeClr>
                        </a:gs>
                        <a:gs pos="80000">
                          <a:schemeClr val="accent4">
                            <a:shade val="93000"/>
                            <a:satMod val="130000"/>
                          </a:schemeClr>
                        </a:gs>
                        <a:gs pos="100000">
                          <a:schemeClr val="accent4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15:spPr>
                  <c15:bubble3D val="0"/>
                </c15:categoryFilterException>
                <c15:categoryFilterException>
                  <c15:sqref>'2020'!$I$18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6">
                            <a:shade val="51000"/>
                            <a:satMod val="130000"/>
                          </a:schemeClr>
                        </a:gs>
                        <a:gs pos="80000">
                          <a:schemeClr val="accent6">
                            <a:shade val="93000"/>
                            <a:satMod val="130000"/>
                          </a:schemeClr>
                        </a:gs>
                        <a:gs pos="100000">
                          <a:schemeClr val="accent6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15:spPr>
                  <c15:bubble3D val="0"/>
                </c15:categoryFilterException>
                <c15:categoryFilterException>
                  <c15:sqref>'2020'!$J$18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1">
                            <a:lumMod val="60000"/>
                            <a:shade val="51000"/>
                            <a:satMod val="130000"/>
                          </a:schemeClr>
                        </a:gs>
                        <a:gs pos="80000">
                          <a:schemeClr val="accent1">
                            <a:lumMod val="60000"/>
                            <a:shade val="93000"/>
                            <a:satMod val="130000"/>
                          </a:schemeClr>
                        </a:gs>
                        <a:gs pos="100000">
                          <a:schemeClr val="accent1">
                            <a:lumMod val="60000"/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15:spPr>
                  <c15:bubble3D val="0"/>
                </c15:categoryFilterException>
                <c15:categoryFilterException>
                  <c15:sqref>'2020'!$K$18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2">
                            <a:lumMod val="60000"/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lumMod val="60000"/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lumMod val="60000"/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4-6271-40C6-BD52-FB4C70A2F38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1993 Expenditures</a:t>
            </a:r>
          </a:p>
        </c:rich>
      </c:tx>
      <c:layout>
        <c:manualLayout>
          <c:xMode val="edge"/>
          <c:yMode val="edge"/>
          <c:x val="0.39130434782608864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50988142292612"/>
          <c:y val="0.38591602376213802"/>
          <c:w val="0.58695652173912727"/>
          <c:h val="0.33239482338636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5E-4DE3-8A24-7F993BAEB3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5E-4DE3-8A24-7F993BAEB3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5E-4DE3-8A24-7F993BAEB35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$93,800 
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45E-4DE3-8A24-7F993BAEB3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$203,031 
18%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45E-4DE3-8A24-7F993BAEB3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$572,000 
52%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45E-4DE3-8A24-7F993BAEB3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Stocks
 $240,000 
22%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45E-4DE3-8A24-7F993BAEB35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('[1]1993'!$E$23,'[1]1993'!$F$23,'[1]1993'!$G$23,'[1]1993'!$J$23)</c:f>
              <c:numCache>
                <c:formatCode>General</c:formatCode>
                <c:ptCount val="4"/>
                <c:pt idx="0">
                  <c:v>93800</c:v>
                </c:pt>
                <c:pt idx="1">
                  <c:v>203031</c:v>
                </c:pt>
                <c:pt idx="2">
                  <c:v>572000</c:v>
                </c:pt>
                <c:pt idx="3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5E-4DE3-8A24-7F993BAEB359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1992 Expenditures</a:t>
            </a:r>
          </a:p>
        </c:rich>
      </c:tx>
      <c:layout>
        <c:manualLayout>
          <c:xMode val="edge"/>
          <c:yMode val="edge"/>
          <c:x val="0.38992537313433079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49253731343342"/>
          <c:y val="0.37464840263039534"/>
          <c:w val="0.59888059701492458"/>
          <c:h val="0.35774697093278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26-42A4-9932-B9574907EC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26-42A4-9932-B9574907EC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26-42A4-9932-B9574907EC4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$92,000 
18%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E26-42A4-9932-B9574907EC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$46,500 
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E26-42A4-9932-B9574907EC4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Loan
 $160,341 
31%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E26-42A4-9932-B9574907EC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
 $224,883 
42%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E26-42A4-9932-B9574907EC4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('[1]1992'!$E$14,'[1]1992'!$F$14,'[1]1992'!$G$14,'[1]1992'!$H$14)</c:f>
              <c:numCache>
                <c:formatCode>General</c:formatCode>
                <c:ptCount val="4"/>
                <c:pt idx="0">
                  <c:v>92000</c:v>
                </c:pt>
                <c:pt idx="1">
                  <c:v>46500</c:v>
                </c:pt>
                <c:pt idx="2">
                  <c:v>160340.68</c:v>
                </c:pt>
                <c:pt idx="3">
                  <c:v>224883.39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26-42A4-9932-B9574907EC48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1991 Expenditures</a:t>
            </a:r>
          </a:p>
        </c:rich>
      </c:tx>
      <c:layout>
        <c:manualLayout>
          <c:xMode val="edge"/>
          <c:yMode val="edge"/>
          <c:x val="0.36545454545454714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272758587321312"/>
          <c:y val="0.45353159851301073"/>
          <c:w val="0.29454571603845531"/>
          <c:h val="0.237918215613382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83-48CE-9075-DE6A4F42F6A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$20,000 
81%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783-48CE-9075-DE6A4F42F6A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$4,600 
19%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783-48CE-9075-DE6A4F42F6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('[1]1991'!$E$6,'[1]1991'!$F$6)</c:f>
              <c:numCache>
                <c:formatCode>General</c:formatCode>
                <c:ptCount val="2"/>
                <c:pt idx="0">
                  <c:v>20000</c:v>
                </c:pt>
                <c:pt idx="1">
                  <c:v>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83-48CE-9075-DE6A4F42F6A3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1990 Expenditures</a:t>
            </a:r>
          </a:p>
        </c:rich>
      </c:tx>
      <c:layout>
        <c:manualLayout>
          <c:xMode val="edge"/>
          <c:yMode val="edge"/>
          <c:x val="0.3543307086614173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055150843487447"/>
          <c:y val="0.45353159851301073"/>
          <c:w val="0.31889794431473906"/>
          <c:h val="0.237918215613382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20-496B-8ECD-84B01ED64D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20-496B-8ECD-84B01ED64D6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$20,000 
22%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D20-496B-8ECD-84B01ED64D6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$13,784 
15%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D20-496B-8ECD-84B01ED64D6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PACE
 $59,055 
63%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D20-496B-8ECD-84B01ED64D6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('[1]1990'!$E$9,'[1]1990'!$F$9,'[1]1990'!$H$9)</c:f>
              <c:numCache>
                <c:formatCode>General</c:formatCode>
                <c:ptCount val="3"/>
                <c:pt idx="0">
                  <c:v>20000</c:v>
                </c:pt>
                <c:pt idx="1">
                  <c:v>13784.43</c:v>
                </c:pt>
                <c:pt idx="2">
                  <c:v>59055.48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20-496B-8ECD-84B01ED64D69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1989 Expenditures</a:t>
            </a:r>
          </a:p>
        </c:rich>
      </c:tx>
      <c:layout>
        <c:manualLayout>
          <c:xMode val="edge"/>
          <c:yMode val="edge"/>
          <c:x val="0.36312849162011313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009374653337744"/>
          <c:y val="0.45353159851301073"/>
          <c:w val="0.29981432548869263"/>
          <c:h val="0.237918215613382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85-4896-B6C8-2A3A53C14B35}"/>
              </c:ext>
            </c:extLst>
          </c:dPt>
          <c:dLbls>
            <c:dLbl>
              <c:idx val="0"/>
              <c:layout>
                <c:manualLayout>
                  <c:x val="1.6344132249056488E-2"/>
                  <c:y val="4.371044697479733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Operating
 $20,000 
68%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785-4896-B6C8-2A3A53C14B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Grant
 $9,523 
32%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785-4896-B6C8-2A3A53C14B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('[1]1989'!$E$5,'[1]1989'!$F$5)</c:f>
              <c:numCache>
                <c:formatCode>General</c:formatCode>
                <c:ptCount val="2"/>
                <c:pt idx="0">
                  <c:v>20000</c:v>
                </c:pt>
                <c:pt idx="1">
                  <c:v>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5-4896-B6C8-2A3A53C14B35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1988 Expenditures</a:t>
            </a:r>
          </a:p>
        </c:rich>
      </c:tx>
      <c:layout>
        <c:manualLayout>
          <c:xMode val="edge"/>
          <c:yMode val="edge"/>
          <c:x val="0.34897959183673488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285738486266942"/>
          <c:y val="0.39576040014976488"/>
          <c:w val="0.5142862267680034"/>
          <c:h val="0.3533575001337168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Operating
 $20,000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A76-401C-8371-F3BE712F7E4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t>
 $-  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A76-401C-8371-F3BE712F7E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76-401C-8371-F3BE712F7E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6-401C-8371-F3BE712F7E4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t>Operating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A76-401C-8371-F3BE712F7E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'[1]1988'!$E$4</c:f>
              <c:numCache>
                <c:formatCode>General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76-401C-8371-F3BE712F7E4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</a:t>
            </a:r>
            <a:r>
              <a:rPr lang="en-US" baseline="0"/>
              <a:t> Funds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AD7-4DCB-8ADF-32AFE48747B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AD7-4DCB-8ADF-32AFE48747B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135C-41CD-9372-79FABACCAFD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35C-41CD-9372-79FABACCAFD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AD7-4DCB-8ADF-32AFE48747B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AAD7-4DCB-8ADF-32AFE48747B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35C-41CD-9372-79FABACCAFD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AD7-4DCB-8ADF-32AFE48747B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35C-41CD-9372-79FABACCAFD3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135C-41CD-9372-79FABACCAFD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5C-41CD-9372-79FABACCAF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5C-41CD-9372-79FABACCAF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5C-41CD-9372-79FABACCAFD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5C-41CD-9372-79FABACCAF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5C-41CD-9372-79FABACCAFD3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'2019'!$D$2:$M$2</c:f>
              <c:strCache>
                <c:ptCount val="10"/>
                <c:pt idx="0">
                  <c:v>Operating</c:v>
                </c:pt>
                <c:pt idx="1">
                  <c:v>Grant</c:v>
                </c:pt>
                <c:pt idx="2">
                  <c:v>APUC Grant</c:v>
                </c:pt>
                <c:pt idx="3">
                  <c:v>Loan</c:v>
                </c:pt>
                <c:pt idx="4">
                  <c:v>PACE/Flex-PACE Interest Buy down Loan</c:v>
                </c:pt>
                <c:pt idx="5">
                  <c:v>NJTF</c:v>
                </c:pt>
                <c:pt idx="6">
                  <c:v>Stocks</c:v>
                </c:pt>
                <c:pt idx="7">
                  <c:v>Land/
Building</c:v>
                </c:pt>
                <c:pt idx="8">
                  <c:v>Infrastructure</c:v>
                </c:pt>
                <c:pt idx="9">
                  <c:v>Jobs</c:v>
                </c:pt>
              </c:strCache>
            </c:strRef>
          </c:cat>
          <c:val>
            <c:numRef>
              <c:f>'2019'!$D$18:$M$18</c:f>
              <c:numCache>
                <c:formatCode>"$"#,##0.00</c:formatCode>
                <c:ptCount val="10"/>
                <c:pt idx="0">
                  <c:v>557569</c:v>
                </c:pt>
                <c:pt idx="1">
                  <c:v>75000</c:v>
                </c:pt>
                <c:pt idx="2">
                  <c:v>0</c:v>
                </c:pt>
                <c:pt idx="3">
                  <c:v>0</c:v>
                </c:pt>
                <c:pt idx="4">
                  <c:v>418399</c:v>
                </c:pt>
                <c:pt idx="5">
                  <c:v>75110</c:v>
                </c:pt>
                <c:pt idx="6">
                  <c:v>0</c:v>
                </c:pt>
                <c:pt idx="7">
                  <c:v>350000</c:v>
                </c:pt>
                <c:pt idx="8">
                  <c:v>0</c:v>
                </c:pt>
                <c:pt idx="9" formatCode="General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C-41CD-9372-79FABACCAFD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 </a:t>
            </a:r>
            <a:r>
              <a:rPr lang="en-US" baseline="0"/>
              <a:t>Expenditures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A2-4CB7-A6D3-3846D78AC6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A2-4CB7-A6D3-3846D78AC6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A2-4CB7-A6D3-3846D78AC6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A2-4CB7-A6D3-3846D78AC6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('2018'!$D$2,'2018'!$E$2,'2018'!$H$2,'2018'!$I$2)</c:f>
              <c:strCache>
                <c:ptCount val="4"/>
                <c:pt idx="0">
                  <c:v>Operating</c:v>
                </c:pt>
                <c:pt idx="1">
                  <c:v>Grant</c:v>
                </c:pt>
                <c:pt idx="2">
                  <c:v>PACE/Flex-PACE Interest Buy down Loan</c:v>
                </c:pt>
                <c:pt idx="3">
                  <c:v>NJTF</c:v>
                </c:pt>
              </c:strCache>
            </c:strRef>
          </c:cat>
          <c:val>
            <c:numRef>
              <c:f>('2018'!$D$17,'2018'!$E$17,'2018'!$H$17,'2018'!$I$17)</c:f>
              <c:numCache>
                <c:formatCode>"$"#,##0.00</c:formatCode>
                <c:ptCount val="4"/>
                <c:pt idx="0">
                  <c:v>612569</c:v>
                </c:pt>
                <c:pt idx="1">
                  <c:v>75000</c:v>
                </c:pt>
                <c:pt idx="2">
                  <c:v>353273</c:v>
                </c:pt>
                <c:pt idx="3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8-4136-918E-C3E9638C55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JSDC Funding Distribution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52-4BEE-8CA9-3F4132BFB0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52-4BEE-8CA9-3F4132BFB0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4711-95E7-84FBD489A7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914-4711-95E7-84FBD489A7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52-4BEE-8CA9-3F4132BFB0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52-4BEE-8CA9-3F4132BFB0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4711-95E7-84FBD489A78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914-4711-95E7-84FBD489A78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4711-95E7-84FBD489A78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14-4711-95E7-84FBD489A7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14-4711-95E7-84FBD489A78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14-4711-95E7-84FBD489A78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14-4711-95E7-84FBD489A788}"/>
                </c:ext>
              </c:extLst>
            </c:dLbl>
            <c:dLbl>
              <c:idx val="8"/>
              <c:layout>
                <c:manualLayout>
                  <c:x val="-1.174743024963292E-2"/>
                  <c:y val="4.88848104501088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14-4711-95E7-84FBD489A78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'2017'!$D$2:$L$2</c:f>
              <c:strCache>
                <c:ptCount val="9"/>
                <c:pt idx="0">
                  <c:v>Operating</c:v>
                </c:pt>
                <c:pt idx="1">
                  <c:v>Grant</c:v>
                </c:pt>
                <c:pt idx="2">
                  <c:v>APUC Grant</c:v>
                </c:pt>
                <c:pt idx="3">
                  <c:v>Loan</c:v>
                </c:pt>
                <c:pt idx="4">
                  <c:v>PACE/Flex-PACE Interest Buy down Loan</c:v>
                </c:pt>
                <c:pt idx="5">
                  <c:v>NJTF</c:v>
                </c:pt>
                <c:pt idx="6">
                  <c:v>Stocks</c:v>
                </c:pt>
                <c:pt idx="7">
                  <c:v>Land/
Building</c:v>
                </c:pt>
                <c:pt idx="8">
                  <c:v>Infrastructure</c:v>
                </c:pt>
              </c:strCache>
            </c:strRef>
          </c:cat>
          <c:val>
            <c:numRef>
              <c:f>'2017'!$D$20:$L$20</c:f>
              <c:numCache>
                <c:formatCode>"$"#,##0.00</c:formatCode>
                <c:ptCount val="9"/>
                <c:pt idx="0">
                  <c:v>597126</c:v>
                </c:pt>
                <c:pt idx="1">
                  <c:v>75000</c:v>
                </c:pt>
                <c:pt idx="2">
                  <c:v>0</c:v>
                </c:pt>
                <c:pt idx="3">
                  <c:v>0</c:v>
                </c:pt>
                <c:pt idx="4">
                  <c:v>690000</c:v>
                </c:pt>
                <c:pt idx="5">
                  <c:v>282137</c:v>
                </c:pt>
                <c:pt idx="6">
                  <c:v>0</c:v>
                </c:pt>
                <c:pt idx="7">
                  <c:v>0</c:v>
                </c:pt>
                <c:pt idx="8">
                  <c:v>2847502.7199999997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4-4711-95E7-84FBD489A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Funding Use 2015</a:t>
            </a:r>
          </a:p>
        </c:rich>
      </c:tx>
      <c:layout>
        <c:manualLayout>
          <c:xMode val="edge"/>
          <c:yMode val="edge"/>
          <c:x val="0.3858121796147323"/>
          <c:y val="2.2889839194373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8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5A1-4CA7-920A-F9B72AC58DEE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5A1-4CA7-920A-F9B72AC58D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5A1-4CA7-920A-F9B72AC58DEE}"/>
              </c:ext>
            </c:extLst>
          </c:dPt>
          <c:dPt>
            <c:idx val="3"/>
            <c:bubble3D val="0"/>
            <c:explosion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5A1-4CA7-920A-F9B72AC58DEE}"/>
              </c:ext>
            </c:extLst>
          </c:dPt>
          <c:dPt>
            <c:idx val="4"/>
            <c:bubble3D val="0"/>
            <c:explosion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5A1-4CA7-920A-F9B72AC58DEE}"/>
              </c:ext>
            </c:extLst>
          </c:dPt>
          <c:dLbls>
            <c:dLbl>
              <c:idx val="0"/>
              <c:layout>
                <c:manualLayout>
                  <c:x val="-1.1807612496091418E-2"/>
                  <c:y val="-1.7688258413668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A1-4CA7-920A-F9B72AC58DEE}"/>
                </c:ext>
              </c:extLst>
            </c:dLbl>
            <c:dLbl>
              <c:idx val="1"/>
              <c:layout>
                <c:manualLayout>
                  <c:x val="1.4632593308507916E-2"/>
                  <c:y val="1.33704296921466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A1-4CA7-920A-F9B72AC58D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A1-4CA7-920A-F9B72AC58DEE}"/>
                </c:ext>
              </c:extLst>
            </c:dLbl>
            <c:dLbl>
              <c:idx val="3"/>
              <c:layout>
                <c:manualLayout>
                  <c:x val="-2.9598908439694135E-2"/>
                  <c:y val="-2.88009449117870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A1-4CA7-920A-F9B72AC58DEE}"/>
                </c:ext>
              </c:extLst>
            </c:dLbl>
            <c:dLbl>
              <c:idx val="4"/>
              <c:layout>
                <c:manualLayout>
                  <c:x val="-8.8162066384301241E-2"/>
                  <c:y val="8.62090821595031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A1-4CA7-920A-F9B72AC58D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'2015'!$D$2:$H$2</c:f>
              <c:strCache>
                <c:ptCount val="5"/>
                <c:pt idx="0">
                  <c:v>Operating</c:v>
                </c:pt>
                <c:pt idx="1">
                  <c:v>Grant</c:v>
                </c:pt>
                <c:pt idx="2">
                  <c:v>APUC Grant</c:v>
                </c:pt>
                <c:pt idx="3">
                  <c:v>Loan</c:v>
                </c:pt>
                <c:pt idx="4">
                  <c:v>PACE/Flex-PACE Interest Buy down Loan</c:v>
                </c:pt>
              </c:strCache>
            </c:strRef>
          </c:cat>
          <c:val>
            <c:numRef>
              <c:f>'2015'!$D$10:$H$10</c:f>
              <c:numCache>
                <c:formatCode>"$"#,##0.00</c:formatCode>
                <c:ptCount val="5"/>
                <c:pt idx="0">
                  <c:v>402000</c:v>
                </c:pt>
                <c:pt idx="1">
                  <c:v>113810</c:v>
                </c:pt>
                <c:pt idx="2">
                  <c:v>0</c:v>
                </c:pt>
                <c:pt idx="3">
                  <c:v>785000</c:v>
                </c:pt>
                <c:pt idx="4">
                  <c:v>124013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A1-4CA7-920A-F9B72AC58DE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Total Funding Use 2014</a:t>
            </a:r>
          </a:p>
        </c:rich>
      </c:tx>
      <c:layout>
        <c:manualLayout>
          <c:xMode val="edge"/>
          <c:yMode val="edge"/>
          <c:x val="0.36733142662099971"/>
          <c:y val="3.068819601930800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173082455077045"/>
          <c:y val="0.18455433883143718"/>
          <c:w val="0.45183233573168619"/>
          <c:h val="0.74285789711489159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1A-40D2-AACD-D24573580F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1A-40D2-AACD-D24573580F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1A-40D2-AACD-D24573580F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1A-40D2-AACD-D24573580F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1A-40D2-AACD-D24573580F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11A-40D2-AACD-D24573580F8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11A-40D2-AACD-D24573580F8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11A-40D2-AACD-D24573580F8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11A-40D2-AACD-D24573580F89}"/>
              </c:ext>
            </c:extLst>
          </c:dPt>
          <c:dLbls>
            <c:dLbl>
              <c:idx val="0"/>
              <c:layout>
                <c:manualLayout>
                  <c:x val="-5.9790143945012454E-3"/>
                  <c:y val="-2.51406291571121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4639666678434"/>
                      <c:h val="5.02436463493430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1A-40D2-AACD-D24573580F89}"/>
                </c:ext>
              </c:extLst>
            </c:dLbl>
            <c:dLbl>
              <c:idx val="1"/>
              <c:layout>
                <c:manualLayout>
                  <c:x val="1.7937219730941593E-2"/>
                  <c:y val="1.50843774942670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1A-40D2-AACD-D24573580F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1A-40D2-AACD-D24573580F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1A-40D2-AACD-D24573580F89}"/>
                </c:ext>
              </c:extLst>
            </c:dLbl>
            <c:dLbl>
              <c:idx val="4"/>
              <c:layout>
                <c:manualLayout>
                  <c:x val="-1.3452914798206279E-2"/>
                  <c:y val="2.262656624140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A-40D2-AACD-D24573580F89}"/>
                </c:ext>
              </c:extLst>
            </c:dLbl>
            <c:dLbl>
              <c:idx val="5"/>
              <c:layout>
                <c:manualLayout>
                  <c:x val="-3.437967115097162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1A-40D2-AACD-D24573580F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1A-40D2-AACD-D24573580F8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A11A-40D2-AACD-D24573580F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1A-40D2-AACD-D24573580F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'2014'!$D$2:$L$2</c:f>
              <c:strCache>
                <c:ptCount val="9"/>
                <c:pt idx="0">
                  <c:v>Operating</c:v>
                </c:pt>
                <c:pt idx="1">
                  <c:v>Grant</c:v>
                </c:pt>
                <c:pt idx="2">
                  <c:v>APUC Grant</c:v>
                </c:pt>
                <c:pt idx="3">
                  <c:v>Loan</c:v>
                </c:pt>
                <c:pt idx="4">
                  <c:v>PACE/Flex-PACE Interest Buy down Loan</c:v>
                </c:pt>
                <c:pt idx="5">
                  <c:v>NJTF</c:v>
                </c:pt>
                <c:pt idx="6">
                  <c:v>Stocks</c:v>
                </c:pt>
                <c:pt idx="7">
                  <c:v>Land/
Building</c:v>
                </c:pt>
                <c:pt idx="8">
                  <c:v>Infrastructure</c:v>
                </c:pt>
              </c:strCache>
            </c:strRef>
          </c:cat>
          <c:val>
            <c:numRef>
              <c:f>'2014'!$D$27:$L$27</c:f>
              <c:numCache>
                <c:formatCode>"$"#,##0.00</c:formatCode>
                <c:ptCount val="9"/>
                <c:pt idx="0">
                  <c:v>402000</c:v>
                </c:pt>
                <c:pt idx="1">
                  <c:v>5571310</c:v>
                </c:pt>
                <c:pt idx="2">
                  <c:v>0</c:v>
                </c:pt>
                <c:pt idx="3">
                  <c:v>0</c:v>
                </c:pt>
                <c:pt idx="4">
                  <c:v>367134</c:v>
                </c:pt>
                <c:pt idx="5">
                  <c:v>343000</c:v>
                </c:pt>
                <c:pt idx="6">
                  <c:v>0</c:v>
                </c:pt>
                <c:pt idx="7">
                  <c:v>2418977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1A-40D2-AACD-D24573580F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Total Expenditures 2013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3.4270778652668414E-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A62-42F0-9ADE-BBF9E9DFBD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A62-42F0-9ADE-BBF9E9DFBD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A62-42F0-9ADE-BBF9E9DFBD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A62-42F0-9ADE-BBF9E9DFBD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A62-42F0-9ADE-BBF9E9DFBDF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A62-42F0-9ADE-BBF9E9DFBDF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A62-42F0-9ADE-BBF9E9DFBDF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A62-42F0-9ADE-BBF9E9DFBDF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A62-42F0-9ADE-BBF9E9DFBDF0}"/>
              </c:ext>
            </c:extLst>
          </c:dPt>
          <c:dLbls>
            <c:dLbl>
              <c:idx val="0"/>
              <c:layout>
                <c:manualLayout>
                  <c:x val="4.414504844118281E-3"/>
                  <c:y val="-5.42914103394583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2-42F0-9ADE-BBF9E9DFBDF0}"/>
                </c:ext>
              </c:extLst>
            </c:dLbl>
            <c:dLbl>
              <c:idx val="1"/>
              <c:layout>
                <c:manualLayout>
                  <c:x val="9.6345135092614081E-2"/>
                  <c:y val="1.03596793864572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62-42F0-9ADE-BBF9E9DFBDF0}"/>
                </c:ext>
              </c:extLst>
            </c:dLbl>
            <c:dLbl>
              <c:idx val="2"/>
              <c:layout>
                <c:manualLayout>
                  <c:x val="1.1803340446466856E-3"/>
                  <c:y val="7.345308457691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62-42F0-9ADE-BBF9E9DFBDF0}"/>
                </c:ext>
              </c:extLst>
            </c:dLbl>
            <c:dLbl>
              <c:idx val="3"/>
              <c:layout>
                <c:manualLayout>
                  <c:x val="-2.6857110283310951E-2"/>
                  <c:y val="-7.02594722040050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62-42F0-9ADE-BBF9E9DFBDF0}"/>
                </c:ext>
              </c:extLst>
            </c:dLbl>
            <c:dLbl>
              <c:idx val="4"/>
              <c:layout>
                <c:manualLayout>
                  <c:x val="-3.6410122955593725E-2"/>
                  <c:y val="-4.46600286469544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62-42F0-9ADE-BBF9E9DFBDF0}"/>
                </c:ext>
              </c:extLst>
            </c:dLbl>
            <c:dLbl>
              <c:idx val="5"/>
              <c:layout>
                <c:manualLayout>
                  <c:x val="-8.6564076963010869E-2"/>
                  <c:y val="-3.57543068391686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62-42F0-9ADE-BBF9E9DFBDF0}"/>
                </c:ext>
              </c:extLst>
            </c:dLbl>
            <c:dLbl>
              <c:idx val="6"/>
              <c:layout>
                <c:manualLayout>
                  <c:x val="-0.1018964555776137"/>
                  <c:y val="6.94444723850601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62-42F0-9ADE-BBF9E9DFBDF0}"/>
                </c:ext>
              </c:extLst>
            </c:dLbl>
            <c:dLbl>
              <c:idx val="7"/>
              <c:layout>
                <c:manualLayout>
                  <c:x val="0.1112551024846828"/>
                  <c:y val="1.6997141577163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62-42F0-9ADE-BBF9E9DFBDF0}"/>
                </c:ext>
              </c:extLst>
            </c:dLbl>
            <c:dLbl>
              <c:idx val="8"/>
              <c:layout>
                <c:manualLayout>
                  <c:x val="5.1312468214280704E-3"/>
                  <c:y val="-9.4940316004363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62-42F0-9ADE-BBF9E9DFBDF0}"/>
                </c:ext>
              </c:extLst>
            </c:dLbl>
            <c:spPr>
              <a:ln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'2013'!$E$2:$M$2</c:f>
              <c:strCache>
                <c:ptCount val="9"/>
                <c:pt idx="0">
                  <c:v>Operating</c:v>
                </c:pt>
                <c:pt idx="1">
                  <c:v>Grant</c:v>
                </c:pt>
                <c:pt idx="2">
                  <c:v>APUC Grant</c:v>
                </c:pt>
                <c:pt idx="3">
                  <c:v>Loan</c:v>
                </c:pt>
                <c:pt idx="4">
                  <c:v>PACE/Flex-PACE Interest Buy down Loan</c:v>
                </c:pt>
                <c:pt idx="5">
                  <c:v>NJTF</c:v>
                </c:pt>
                <c:pt idx="6">
                  <c:v>Stocks</c:v>
                </c:pt>
                <c:pt idx="7">
                  <c:v>Land/
Building</c:v>
                </c:pt>
                <c:pt idx="8">
                  <c:v>Infrastructure</c:v>
                </c:pt>
              </c:strCache>
            </c:strRef>
          </c:cat>
          <c:val>
            <c:numRef>
              <c:f>'2013'!$E$17:$M$17</c:f>
              <c:numCache>
                <c:formatCode>"$"#,##0.00</c:formatCode>
                <c:ptCount val="9"/>
                <c:pt idx="0">
                  <c:v>402000</c:v>
                </c:pt>
                <c:pt idx="1">
                  <c:v>256149</c:v>
                </c:pt>
                <c:pt idx="2">
                  <c:v>0</c:v>
                </c:pt>
                <c:pt idx="3">
                  <c:v>0</c:v>
                </c:pt>
                <c:pt idx="4">
                  <c:v>320824.25</c:v>
                </c:pt>
                <c:pt idx="5">
                  <c:v>0</c:v>
                </c:pt>
                <c:pt idx="6">
                  <c:v>0</c:v>
                </c:pt>
                <c:pt idx="7">
                  <c:v>9551.98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62-42F0-9ADE-BBF9E9DFBDF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7</xdr:row>
      <xdr:rowOff>86200</xdr:rowOff>
    </xdr:from>
    <xdr:to>
      <xdr:col>9</xdr:col>
      <xdr:colOff>98584</xdr:colOff>
      <xdr:row>25</xdr:row>
      <xdr:rowOff>116204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AEB0FA-1CCE-470E-96BE-5B972F3D5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137635</xdr:colOff>
      <xdr:row>6</xdr:row>
      <xdr:rowOff>139062</xdr:rowOff>
    </xdr:from>
    <xdr:to>
      <xdr:col>15</xdr:col>
      <xdr:colOff>611980</xdr:colOff>
      <xdr:row>26</xdr:row>
      <xdr:rowOff>115250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3090F21-0A8B-439E-8AFC-B0A42F41C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27</xdr:row>
      <xdr:rowOff>104775</xdr:rowOff>
    </xdr:from>
    <xdr:to>
      <xdr:col>8</xdr:col>
      <xdr:colOff>504825</xdr:colOff>
      <xdr:row>41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20</xdr:row>
      <xdr:rowOff>0</xdr:rowOff>
    </xdr:from>
    <xdr:to>
      <xdr:col>7</xdr:col>
      <xdr:colOff>190500</xdr:colOff>
      <xdr:row>34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11</xdr:col>
      <xdr:colOff>190500</xdr:colOff>
      <xdr:row>39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0</xdr:rowOff>
    </xdr:from>
    <xdr:to>
      <xdr:col>14</xdr:col>
      <xdr:colOff>563182</xdr:colOff>
      <xdr:row>45</xdr:row>
      <xdr:rowOff>38502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0.31402</cdr:x>
      <cdr:y>0.31133</cdr:y>
    </cdr:from>
    <cdr:to>
      <cdr:x>0.44838</cdr:x>
      <cdr:y>0.54771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4706" y="115413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29</xdr:row>
      <xdr:rowOff>0</xdr:rowOff>
    </xdr:from>
    <xdr:to>
      <xdr:col>14</xdr:col>
      <xdr:colOff>574585</xdr:colOff>
      <xdr:row>48</xdr:row>
      <xdr:rowOff>178426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31</xdr:row>
      <xdr:rowOff>0</xdr:rowOff>
    </xdr:from>
    <xdr:to>
      <xdr:col>14</xdr:col>
      <xdr:colOff>570139</xdr:colOff>
      <xdr:row>51</xdr:row>
      <xdr:rowOff>40821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42</xdr:row>
      <xdr:rowOff>190499</xdr:rowOff>
    </xdr:from>
    <xdr:to>
      <xdr:col>10</xdr:col>
      <xdr:colOff>57150</xdr:colOff>
      <xdr:row>57</xdr:row>
      <xdr:rowOff>145595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37</xdr:row>
      <xdr:rowOff>0</xdr:rowOff>
    </xdr:from>
    <xdr:to>
      <xdr:col>15</xdr:col>
      <xdr:colOff>144235</xdr:colOff>
      <xdr:row>57</xdr:row>
      <xdr:rowOff>2722</xdr:rowOff>
    </xdr:to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27</xdr:row>
      <xdr:rowOff>0</xdr:rowOff>
    </xdr:from>
    <xdr:to>
      <xdr:col>13</xdr:col>
      <xdr:colOff>234950</xdr:colOff>
      <xdr:row>45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</xdr:colOff>
      <xdr:row>19</xdr:row>
      <xdr:rowOff>158114</xdr:rowOff>
    </xdr:from>
    <xdr:to>
      <xdr:col>10</xdr:col>
      <xdr:colOff>792480</xdr:colOff>
      <xdr:row>43</xdr:row>
      <xdr:rowOff>36194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FD94BE-A51E-42B4-A3BF-6FEA90B03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11</xdr:col>
      <xdr:colOff>219075</xdr:colOff>
      <xdr:row>37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0</xdr:rowOff>
    </xdr:from>
    <xdr:to>
      <xdr:col>12</xdr:col>
      <xdr:colOff>517525</xdr:colOff>
      <xdr:row>43</xdr:row>
      <xdr:rowOff>28575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23</xdr:row>
      <xdr:rowOff>123825</xdr:rowOff>
    </xdr:from>
    <xdr:to>
      <xdr:col>12</xdr:col>
      <xdr:colOff>222250</xdr:colOff>
      <xdr:row>41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12</xdr:col>
      <xdr:colOff>498475</xdr:colOff>
      <xdr:row>32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0</xdr:rowOff>
    </xdr:from>
    <xdr:to>
      <xdr:col>14</xdr:col>
      <xdr:colOff>434975</xdr:colOff>
      <xdr:row>34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11</xdr:col>
      <xdr:colOff>200025</xdr:colOff>
      <xdr:row>33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10</xdr:col>
      <xdr:colOff>400050</xdr:colOff>
      <xdr:row>35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9</xdr:col>
      <xdr:colOff>425450</xdr:colOff>
      <xdr:row>35</xdr:row>
      <xdr:rowOff>19050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0</xdr:rowOff>
    </xdr:from>
    <xdr:to>
      <xdr:col>13</xdr:col>
      <xdr:colOff>320675</xdr:colOff>
      <xdr:row>34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0</xdr:rowOff>
    </xdr:from>
    <xdr:to>
      <xdr:col>11</xdr:col>
      <xdr:colOff>549275</xdr:colOff>
      <xdr:row>42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13334</xdr:rowOff>
    </xdr:from>
    <xdr:to>
      <xdr:col>5</xdr:col>
      <xdr:colOff>251460</xdr:colOff>
      <xdr:row>43</xdr:row>
      <xdr:rowOff>74294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4CAF9-962E-4A41-9164-77591E607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11</xdr:col>
      <xdr:colOff>231775</xdr:colOff>
      <xdr:row>36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11</xdr:col>
      <xdr:colOff>361950</xdr:colOff>
      <xdr:row>23</xdr:row>
      <xdr:rowOff>136525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10</xdr:col>
      <xdr:colOff>581025</xdr:colOff>
      <xdr:row>26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12</xdr:col>
      <xdr:colOff>238125</xdr:colOff>
      <xdr:row>26</xdr:row>
      <xdr:rowOff>136525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11</xdr:col>
      <xdr:colOff>400050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20</xdr:row>
      <xdr:rowOff>176212</xdr:rowOff>
    </xdr:from>
    <xdr:to>
      <xdr:col>7</xdr:col>
      <xdr:colOff>542925</xdr:colOff>
      <xdr:row>35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E27E1C-564D-4FD0-B18D-C3A549463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14287</xdr:rowOff>
    </xdr:from>
    <xdr:to>
      <xdr:col>13</xdr:col>
      <xdr:colOff>457200</xdr:colOff>
      <xdr:row>49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131E73-E57B-4985-94E3-A23CCA7C1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11</xdr:row>
      <xdr:rowOff>166687</xdr:rowOff>
    </xdr:from>
    <xdr:to>
      <xdr:col>11</xdr:col>
      <xdr:colOff>381000</xdr:colOff>
      <xdr:row>29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345281</xdr:colOff>
      <xdr:row>30</xdr:row>
      <xdr:rowOff>23814</xdr:rowOff>
    </xdr:from>
    <xdr:to>
      <xdr:col>14</xdr:col>
      <xdr:colOff>376237</xdr:colOff>
      <xdr:row>56</xdr:row>
      <xdr:rowOff>98586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19</xdr:row>
      <xdr:rowOff>195262</xdr:rowOff>
    </xdr:from>
    <xdr:to>
      <xdr:col>18</xdr:col>
      <xdr:colOff>552449</xdr:colOff>
      <xdr:row>41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152400</xdr:rowOff>
    </xdr:from>
    <xdr:to>
      <xdr:col>6</xdr:col>
      <xdr:colOff>457200</xdr:colOff>
      <xdr:row>45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19</xdr:row>
      <xdr:rowOff>80962</xdr:rowOff>
    </xdr:from>
    <xdr:to>
      <xdr:col>18</xdr:col>
      <xdr:colOff>590550</xdr:colOff>
      <xdr:row>41</xdr:row>
      <xdr:rowOff>142876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ry\2010%20Annual%20Meeting\Annual%20Report\Annual%20Report\Yearly%20Projects%201988-2008%20for%202009%20Annual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ulative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1988"/>
    </sheetNames>
    <sheetDataSet>
      <sheetData sheetId="0"/>
      <sheetData sheetId="1">
        <row r="28">
          <cell r="E28" t="str">
            <v>Operating</v>
          </cell>
          <cell r="F28" t="str">
            <v>Grant</v>
          </cell>
          <cell r="G28" t="str">
            <v>Interest Buydown</v>
          </cell>
          <cell r="H28" t="str">
            <v>Land/bldg</v>
          </cell>
          <cell r="I28" t="str">
            <v>Infrastructure</v>
          </cell>
        </row>
        <row r="29">
          <cell r="E29">
            <v>342500</v>
          </cell>
          <cell r="F29">
            <v>583731</v>
          </cell>
          <cell r="G29">
            <v>131000</v>
          </cell>
          <cell r="H29">
            <v>2048798</v>
          </cell>
          <cell r="I29">
            <v>393571</v>
          </cell>
        </row>
      </sheetData>
      <sheetData sheetId="2">
        <row r="29">
          <cell r="E29">
            <v>342500</v>
          </cell>
          <cell r="F29">
            <v>224932</v>
          </cell>
          <cell r="G29">
            <v>0</v>
          </cell>
          <cell r="H29">
            <v>27355</v>
          </cell>
          <cell r="I29">
            <v>40365</v>
          </cell>
          <cell r="J29">
            <v>0</v>
          </cell>
          <cell r="K29">
            <v>0</v>
          </cell>
          <cell r="L29">
            <v>279996</v>
          </cell>
        </row>
      </sheetData>
      <sheetData sheetId="3">
        <row r="31">
          <cell r="E31">
            <v>330000</v>
          </cell>
          <cell r="F31">
            <v>291618</v>
          </cell>
          <cell r="G31">
            <v>0</v>
          </cell>
          <cell r="H31">
            <v>125000</v>
          </cell>
          <cell r="I31">
            <v>60000</v>
          </cell>
          <cell r="J31">
            <v>0</v>
          </cell>
          <cell r="K31">
            <v>0</v>
          </cell>
          <cell r="L31">
            <v>429996</v>
          </cell>
        </row>
      </sheetData>
      <sheetData sheetId="4">
        <row r="38">
          <cell r="E38">
            <v>290000</v>
          </cell>
          <cell r="F38">
            <v>4793459</v>
          </cell>
          <cell r="G38">
            <v>450000</v>
          </cell>
          <cell r="H38">
            <v>35000</v>
          </cell>
          <cell r="I38">
            <v>72523</v>
          </cell>
          <cell r="J38">
            <v>2000000</v>
          </cell>
          <cell r="K38">
            <v>27500</v>
          </cell>
          <cell r="L38">
            <v>279996</v>
          </cell>
        </row>
      </sheetData>
      <sheetData sheetId="5">
        <row r="43">
          <cell r="E43">
            <v>276323</v>
          </cell>
          <cell r="F43">
            <v>2186672.7599999998</v>
          </cell>
          <cell r="G43">
            <v>714166</v>
          </cell>
          <cell r="H43">
            <v>275479.83999999997</v>
          </cell>
          <cell r="I43">
            <v>1102968</v>
          </cell>
          <cell r="J43">
            <v>30000</v>
          </cell>
          <cell r="K43">
            <v>213333</v>
          </cell>
          <cell r="L43">
            <v>535852</v>
          </cell>
        </row>
      </sheetData>
      <sheetData sheetId="6">
        <row r="28">
          <cell r="E28">
            <v>200000</v>
          </cell>
          <cell r="F28">
            <v>2018164.67</v>
          </cell>
          <cell r="G28">
            <v>385000</v>
          </cell>
          <cell r="H28">
            <v>20000</v>
          </cell>
          <cell r="I28">
            <v>153085.24</v>
          </cell>
          <cell r="K28">
            <v>250550</v>
          </cell>
          <cell r="L28">
            <v>1410162.94</v>
          </cell>
        </row>
      </sheetData>
      <sheetData sheetId="7">
        <row r="22">
          <cell r="E22">
            <v>200000</v>
          </cell>
          <cell r="F22">
            <v>539396.06000000006</v>
          </cell>
          <cell r="G22">
            <v>324264.45999999996</v>
          </cell>
          <cell r="K22">
            <v>10000</v>
          </cell>
          <cell r="L22">
            <v>279996</v>
          </cell>
        </row>
      </sheetData>
      <sheetData sheetId="8">
        <row r="14">
          <cell r="E14">
            <v>200000</v>
          </cell>
          <cell r="F14">
            <v>228866.73</v>
          </cell>
          <cell r="G14">
            <v>100000</v>
          </cell>
          <cell r="H14">
            <v>174973.47</v>
          </cell>
          <cell r="K14">
            <v>65000</v>
          </cell>
          <cell r="L14">
            <v>279996</v>
          </cell>
        </row>
      </sheetData>
      <sheetData sheetId="9">
        <row r="21">
          <cell r="E21">
            <v>134175</v>
          </cell>
          <cell r="F21">
            <v>513251</v>
          </cell>
          <cell r="H21">
            <v>20242.62</v>
          </cell>
          <cell r="J21">
            <v>384000</v>
          </cell>
          <cell r="K21">
            <v>168000</v>
          </cell>
          <cell r="L21">
            <v>480341</v>
          </cell>
        </row>
      </sheetData>
      <sheetData sheetId="10">
        <row r="22">
          <cell r="E22">
            <v>127850</v>
          </cell>
          <cell r="F22">
            <v>513454.22</v>
          </cell>
          <cell r="G22">
            <v>220000</v>
          </cell>
          <cell r="H22">
            <v>10000</v>
          </cell>
          <cell r="J22">
            <v>376000</v>
          </cell>
          <cell r="K22">
            <v>5000</v>
          </cell>
          <cell r="L22">
            <v>279996</v>
          </cell>
        </row>
      </sheetData>
      <sheetData sheetId="11">
        <row r="12">
          <cell r="E12">
            <v>110600</v>
          </cell>
          <cell r="F12">
            <v>254279</v>
          </cell>
          <cell r="G12">
            <v>35000</v>
          </cell>
          <cell r="L12">
            <v>672475.49</v>
          </cell>
        </row>
      </sheetData>
      <sheetData sheetId="12">
        <row r="11">
          <cell r="E11">
            <v>110000</v>
          </cell>
          <cell r="F11">
            <v>180000</v>
          </cell>
          <cell r="G11">
            <v>195000</v>
          </cell>
          <cell r="L11">
            <v>671910</v>
          </cell>
        </row>
      </sheetData>
      <sheetData sheetId="13">
        <row r="12">
          <cell r="E12">
            <v>110000</v>
          </cell>
          <cell r="F12">
            <v>133000</v>
          </cell>
          <cell r="G12">
            <v>90000</v>
          </cell>
          <cell r="H12">
            <v>128481.31</v>
          </cell>
          <cell r="K12">
            <v>184825</v>
          </cell>
          <cell r="L12">
            <v>925000</v>
          </cell>
        </row>
      </sheetData>
      <sheetData sheetId="14">
        <row r="12">
          <cell r="E12">
            <v>99800</v>
          </cell>
          <cell r="G12">
            <v>120000</v>
          </cell>
          <cell r="H12">
            <v>78893.77</v>
          </cell>
          <cell r="J12">
            <v>50000</v>
          </cell>
          <cell r="K12">
            <v>50000</v>
          </cell>
          <cell r="L12">
            <v>500000</v>
          </cell>
        </row>
      </sheetData>
      <sheetData sheetId="15">
        <row r="12">
          <cell r="E12">
            <v>112300</v>
          </cell>
          <cell r="G12">
            <v>97500</v>
          </cell>
          <cell r="H12">
            <v>34066</v>
          </cell>
          <cell r="J12">
            <v>2720000</v>
          </cell>
        </row>
      </sheetData>
      <sheetData sheetId="16">
        <row r="13">
          <cell r="E13">
            <v>99700</v>
          </cell>
          <cell r="F13">
            <v>2500</v>
          </cell>
          <cell r="G13">
            <v>228000</v>
          </cell>
          <cell r="H13">
            <v>402887</v>
          </cell>
          <cell r="J13">
            <v>634000</v>
          </cell>
        </row>
      </sheetData>
      <sheetData sheetId="17">
        <row r="23">
          <cell r="E23">
            <v>93800</v>
          </cell>
          <cell r="F23">
            <v>203031</v>
          </cell>
          <cell r="G23">
            <v>572000</v>
          </cell>
          <cell r="J23">
            <v>240000</v>
          </cell>
        </row>
      </sheetData>
      <sheetData sheetId="18">
        <row r="14">
          <cell r="E14">
            <v>92000</v>
          </cell>
          <cell r="F14">
            <v>46500</v>
          </cell>
          <cell r="G14">
            <v>160340.68</v>
          </cell>
          <cell r="H14">
            <v>224883.39</v>
          </cell>
        </row>
      </sheetData>
      <sheetData sheetId="19">
        <row r="6">
          <cell r="E6">
            <v>20000</v>
          </cell>
          <cell r="F6">
            <v>4600</v>
          </cell>
        </row>
      </sheetData>
      <sheetData sheetId="20">
        <row r="9">
          <cell r="E9">
            <v>20000</v>
          </cell>
          <cell r="F9">
            <v>13784.43</v>
          </cell>
          <cell r="H9">
            <v>59055.48</v>
          </cell>
        </row>
      </sheetData>
      <sheetData sheetId="21">
        <row r="5">
          <cell r="E5">
            <v>20000</v>
          </cell>
          <cell r="F5">
            <v>9523</v>
          </cell>
        </row>
      </sheetData>
      <sheetData sheetId="22">
        <row r="4">
          <cell r="E4">
            <v>20000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zoomScale="80" zoomScaleNormal="80" workbookViewId="0">
      <selection activeCell="M32" sqref="M32"/>
    </sheetView>
  </sheetViews>
  <sheetFormatPr defaultRowHeight="14.4" x14ac:dyDescent="0.3"/>
  <cols>
    <col min="1" max="1" width="16.6640625" bestFit="1" customWidth="1"/>
    <col min="2" max="2" width="13.5546875" bestFit="1" customWidth="1"/>
    <col min="3" max="3" width="15.33203125" customWidth="1"/>
    <col min="4" max="4" width="1" hidden="1" customWidth="1"/>
    <col min="5" max="5" width="14.33203125" bestFit="1" customWidth="1"/>
    <col min="6" max="6" width="14.5546875" bestFit="1" customWidth="1"/>
    <col min="7" max="7" width="12.88671875" style="141" bestFit="1" customWidth="1"/>
    <col min="8" max="8" width="13.5546875" bestFit="1" customWidth="1"/>
    <col min="9" max="9" width="16.88671875" bestFit="1" customWidth="1"/>
    <col min="10" max="11" width="13.5546875" bestFit="1" customWidth="1"/>
    <col min="12" max="12" width="14" customWidth="1"/>
    <col min="13" max="13" width="14.5546875" bestFit="1" customWidth="1"/>
    <col min="14" max="14" width="11.88671875" customWidth="1"/>
    <col min="16" max="16" width="14.5546875" bestFit="1" customWidth="1"/>
  </cols>
  <sheetData>
    <row r="1" spans="1:17" ht="13.5" customHeight="1" thickBot="1" x14ac:dyDescent="0.35">
      <c r="A1" s="429" t="s">
        <v>0</v>
      </c>
      <c r="B1" s="430"/>
      <c r="C1" s="431"/>
      <c r="D1" s="256"/>
      <c r="E1" s="429" t="s">
        <v>1</v>
      </c>
      <c r="F1" s="430"/>
      <c r="G1" s="430"/>
      <c r="H1" s="430"/>
      <c r="I1" s="430"/>
      <c r="J1" s="430"/>
      <c r="K1" s="430"/>
      <c r="L1" s="430"/>
      <c r="M1" s="430"/>
      <c r="N1" s="432"/>
    </row>
    <row r="2" spans="1:17" ht="30.75" customHeight="1" thickBot="1" x14ac:dyDescent="0.35">
      <c r="A2" s="208"/>
      <c r="B2" s="185" t="s">
        <v>3</v>
      </c>
      <c r="C2" s="196" t="s">
        <v>4</v>
      </c>
      <c r="D2" s="211"/>
      <c r="E2" s="257" t="s">
        <v>5</v>
      </c>
      <c r="F2" s="185" t="s">
        <v>6</v>
      </c>
      <c r="G2" s="186" t="s">
        <v>374</v>
      </c>
      <c r="H2" s="186" t="s">
        <v>7</v>
      </c>
      <c r="I2" s="187" t="s">
        <v>344</v>
      </c>
      <c r="J2" s="188" t="s">
        <v>8</v>
      </c>
      <c r="K2" s="189" t="s">
        <v>9</v>
      </c>
      <c r="L2" s="188" t="s">
        <v>347</v>
      </c>
      <c r="M2" s="186" t="s">
        <v>11</v>
      </c>
      <c r="N2" s="190" t="s">
        <v>12</v>
      </c>
    </row>
    <row r="3" spans="1:17" ht="15" thickBot="1" x14ac:dyDescent="0.35">
      <c r="A3" s="209" t="s">
        <v>346</v>
      </c>
      <c r="B3" s="191">
        <f>SUM('2020'!B18,'2019'!B18, '2018'!B17,'2017'!$B$20,'2016'!$B$13,'2013'!B17,'2012'!B16,'2011'!B21,'2010'!B17,'2009'!B21,'2008'!B16,'2007'!B18,'2006'!B25,'2005'!B42,'2004'!B28,'2003'!B22,'2002'!B14,'2001'!B21,'2000'!B22,'1999'!B12,'1998'!B11,'1997'!B12,'1996'!B12,'1995'!B12,'1994'!B13,'1993'!B23,'1992'!B14,'1991'!B6, '1990'!B9, '1989'!B5, '1988'!B4)</f>
        <v>7368105.0899999989</v>
      </c>
      <c r="C3" s="195">
        <f>SUM('2020'!C18,'2019'!C18, '2018'!C17, '2017'!$C$20,'2016'!$C$13,'2013'!C17,'2012'!C16,'2011'!C21,'2010'!C17,'2009'!C21,'2008'!C16,'2007'!C18,'2006'!C25,'2005'!C42,'2004'!C28,'2003'!C22,'2002'!C14,'2001'!C21,'2000'!C22,'1999'!C12,'1998'!C11,'1997'!C12,'1996'!C12,'1995'!C12,'1994'!C13,'1993'!C23,'1992'!C14,'1991'!C6, '1990'!C9, '1989'!C5, '1988'!C4)</f>
        <v>49212286.829999998</v>
      </c>
      <c r="D3" s="258"/>
      <c r="E3" s="383">
        <f>SUM('2020'!D18,'2019'!D18, '2018'!D17,'2017'!$D$20,'2016'!$D$13,'2015'!$D$10,'2014'!$D$27,'2013'!E3,'2012'!E3,,'2011'!E3,'2010'!E3,'2009'!E3,'2008'!E3,'2007'!E3,'2006'!E3,'2005'!E3,'2004'!E3,'2003'!E3,'2002'!E3,'2001'!E3,'2000'!E3,'1999'!E3,'1998'!E3,'1997'!E3,'1996'!E3,'1995'!E3,'1994'!E3,'1993'!E3,'1992'!E3,'1991'!E3, '1990'!E3, '1989'!E3, '1988'!E3)</f>
        <v>8359547</v>
      </c>
      <c r="F3" s="191">
        <f>SUM('2020'!E18,'2019'!E18, '2018'!E17,'2017'!E20, '2016'!$E$13,'2015'!$E$10,'2014'!$E$27,'2013'!F17,'2011'!F21,'2010'!F17,'2009'!F21,'2008'!F16,'2007'!F18,'2006'!F25,'2005'!F42,'2004'!F28,'2003'!F22,'2002'!F14,'2001'!F21,'2000'!F22,'1999'!F12,'1998'!F11,'1997'!F12,'1996'!F12,'1995'!F12,'1994'!F13,'1993'!F23,'1992'!F14,'1991'!F6, '1990'!F9, '1989'!F5, '1988'!F4)</f>
        <v>20196259.869999997</v>
      </c>
      <c r="G3" s="191">
        <f>SUM('2017'!G$20,'2016'!$F$13,'2014'!$F$27,'2013'!G17,'2012'!G16)</f>
        <v>235000</v>
      </c>
      <c r="H3" s="191">
        <f>SUM('2015'!$G$10,'2014'!$G$27,'2013'!H17,'2011'!G21,'2010'!G17,'2009'!G21,'2008'!G16,'2007'!G18,'2006'!G25,'2005'!G42,'2004'!G28,'2003'!G22,'2002'!G14,'2001'!G21,'2000'!G22,'1999'!G12,'1998'!G11,'1997'!G12,'1996'!G12,'1995'!G12,'1994'!G13,'1993'!G23,'1992'!G14,'1991'!G6, '1990'!G9, '1989'!G5, '1988'!G4)</f>
        <v>4494271.1399999997</v>
      </c>
      <c r="I3" s="191">
        <f>SUM('2020'!H18,'2019'!H18, '2018'!H17,'2017'!$H$20,'2016'!$H$13,'2015'!$H$10,'2014'!$H$27,'2013'!I17,'2012'!I16,'2011'!H21,'2010'!H17,'2009'!H21,'2008'!H16,'2007'!H18,'2006'!H25,'2005'!H42,'2004'!H28,'2003'!H22,'2002'!H14,'2001'!H21,'2000'!H22,'1999'!H12,'1998'!H11,'1997'!H12,'1996'!H12,'1995'!H12,'1994'!H13,'1993'!H23,'1992'!H14,'1991'!H6, '1990'!H9, '1989'!H5, '1988'!H4)</f>
        <v>5086743.13</v>
      </c>
      <c r="J3" s="191">
        <f>SUM('2019'!I18, '2018'!I17,'2017'!$I$20,'2016'!$I$13,'2014'!$I$27,'2013'!J17,'2011'!I21,'2010'!I17,'2009'!I21,'2008'!I16,'2007'!I18,'2006'!I25,'2005'!I42,'2004'!I28,'2003'!I22,'2002'!I14,'2001'!I21,'2000'!I22,'1999'!I12,'1998'!I11,'1997'!I12,'1996'!I12,'1995'!I12,'1994'!I13,'1993'!I23,'1992'!I14,'1991'!I6, '1990'!I9, '1989'!I5, '1988'!I4)</f>
        <v>2374188.2400000002</v>
      </c>
      <c r="K3" s="191">
        <f>SUM('2014'!$J$27,'2013'!K17,'2011'!J21,'2010'!J17,'2009'!J21,'2008'!J16,'2007'!J18,'2006'!J25,'2005'!J42,'2004'!J28,'2003'!J22,'2002'!J14,'2001'!J21,'2000'!J22,'1999'!J12,'1998'!J11,'1997'!J12,'1996'!J12,'1995'!J12,'1994'!J13,'1993'!J23,'1992'!J14,'1991'!J6, '1990'!J9, '1989'!J5, '1988'!J4)</f>
        <v>6434000</v>
      </c>
      <c r="L3" s="192">
        <f>SUM('2019'!K18, '2014'!$K$27,'2013'!L17,'2011'!K21,'2010'!K17,'2009'!K21,'2008'!K16,'2007'!K18,'2006'!K25,'2005'!K42,'2004'!K28,'2003'!K22,'2002'!K14,'2001'!K21,'2000'!K22,'1999'!K12,'1998'!K11,'1997'!K12,'1996'!K12,'1995'!K12,'1994'!K13,'1993'!K23,'1992'!K14,'1991'!K6, '1990'!K9, '1989'!K5, '1988'!K4)</f>
        <v>6583592.9800000004</v>
      </c>
      <c r="M3" s="191">
        <f>SUM('2020'!L18,'2017'!$L$20,'2016'!$L$13,'2014'!$L$27,'2013'!M17,'2011'!L21,'2010'!L17,'2009'!L21,'2008'!L16,'2007'!L18,'2006'!L25,'2005'!L42,'2004'!L28,'2003'!L22,'2002'!L14,'2001'!L21,'2000'!L22,'1999'!L12,'1998'!L11,'1997'!L12,'1996'!L12,'1995'!L12,'1994'!L13,'1993'!L23,'1992'!L14,'1991'!L6, '1990'!L9, '1989'!L5, '1988'!L4)</f>
        <v>14288190.149999999</v>
      </c>
      <c r="N3" s="184">
        <f>SUM('2020'!M18,'2019'!M18, '2018'!M17,'2017'!$M$20,'2016'!$M$13,'2015'!$M$10,'2014'!$M$27,'2013'!N17,'2012'!N16,'2011'!M21,'2010'!M17,'2009'!M21,'2008'!M16,'2007'!M18,'2006'!M25,'2005'!M42,'2004'!M28,'2003'!M22,'2002'!M14,'2001'!M21,'2000'!M22,'1999'!M12,'1998'!M11,'1997'!M12,'1996'!M12,'1995'!M12,'1994'!M13,'1993'!M23,'1992'!M14,'1991'!M6, '1990'!M9, '1989'!M5, '1988'!M4)</f>
        <v>3058.25</v>
      </c>
      <c r="P3" s="194"/>
    </row>
    <row r="4" spans="1:17" ht="15" thickBot="1" x14ac:dyDescent="0.35">
      <c r="A4" s="210" t="s">
        <v>345</v>
      </c>
      <c r="B4" s="193"/>
      <c r="C4" s="260">
        <f>SUM(B3:C3)</f>
        <v>56580391.919999994</v>
      </c>
      <c r="D4" s="259"/>
      <c r="E4" s="433"/>
      <c r="F4" s="433"/>
      <c r="G4" s="433"/>
      <c r="H4" s="433"/>
      <c r="I4" s="433"/>
      <c r="J4" s="433"/>
      <c r="K4" s="433"/>
      <c r="L4" s="433"/>
      <c r="M4" s="433"/>
      <c r="N4" s="433"/>
      <c r="Q4" s="70"/>
    </row>
    <row r="5" spans="1:17" ht="15" thickTop="1" x14ac:dyDescent="0.3">
      <c r="B5" s="54"/>
      <c r="C5" s="50"/>
      <c r="D5" s="50"/>
      <c r="E5" s="50"/>
      <c r="F5" s="50"/>
      <c r="G5" s="54"/>
      <c r="H5" s="54"/>
      <c r="I5" s="54"/>
      <c r="J5" s="54"/>
      <c r="K5" s="54"/>
      <c r="L5" s="54"/>
      <c r="M5" s="54"/>
      <c r="N5" s="94"/>
    </row>
    <row r="6" spans="1:17" x14ac:dyDescent="0.3">
      <c r="E6" s="70"/>
    </row>
    <row r="7" spans="1:17" x14ac:dyDescent="0.3">
      <c r="K7" s="70"/>
    </row>
    <row r="8" spans="1:17" x14ac:dyDescent="0.3">
      <c r="K8" s="70"/>
    </row>
    <row r="19" spans="1:18" x14ac:dyDescent="0.3">
      <c r="R19" s="63"/>
    </row>
    <row r="31" spans="1:18" x14ac:dyDescent="0.3">
      <c r="A31" s="218" t="s">
        <v>375</v>
      </c>
    </row>
  </sheetData>
  <mergeCells count="3">
    <mergeCell ref="A1:C1"/>
    <mergeCell ref="E1:N1"/>
    <mergeCell ref="E4:N4"/>
  </mergeCells>
  <pageMargins left="0.7" right="0.7" top="0.75" bottom="0.75" header="0.3" footer="0.3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5"/>
  <sheetViews>
    <sheetView workbookViewId="0">
      <selection activeCell="E21" sqref="E21"/>
    </sheetView>
  </sheetViews>
  <sheetFormatPr defaultRowHeight="14.4" x14ac:dyDescent="0.3"/>
  <cols>
    <col min="1" max="1" width="40.5546875" bestFit="1" customWidth="1"/>
    <col min="2" max="3" width="12.6640625" bestFit="1" customWidth="1"/>
    <col min="4" max="4" width="0.109375" style="141" customWidth="1"/>
    <col min="5" max="5" width="11.109375" bestFit="1" customWidth="1"/>
    <col min="6" max="6" width="12.6640625" bestFit="1" customWidth="1"/>
    <col min="7" max="7" width="11.109375" style="141" bestFit="1" customWidth="1"/>
    <col min="8" max="8" width="5.5546875" bestFit="1" customWidth="1"/>
    <col min="9" max="9" width="15.5546875" bestFit="1" customWidth="1"/>
    <col min="10" max="10" width="5.5546875" bestFit="1" customWidth="1"/>
    <col min="11" max="11" width="6.5546875" bestFit="1" customWidth="1"/>
    <col min="12" max="12" width="10.109375" bestFit="1" customWidth="1"/>
    <col min="13" max="13" width="13.33203125" bestFit="1" customWidth="1"/>
    <col min="14" max="14" width="4.88671875" bestFit="1" customWidth="1"/>
  </cols>
  <sheetData>
    <row r="1" spans="1:15" ht="15" thickBot="1" x14ac:dyDescent="0.35">
      <c r="A1" s="447" t="s">
        <v>0</v>
      </c>
      <c r="B1" s="448"/>
      <c r="C1" s="449"/>
      <c r="D1" s="176"/>
      <c r="E1" s="450" t="s">
        <v>1</v>
      </c>
      <c r="F1" s="448"/>
      <c r="G1" s="448"/>
      <c r="H1" s="448"/>
      <c r="I1" s="448"/>
      <c r="J1" s="448"/>
      <c r="K1" s="448"/>
      <c r="L1" s="448"/>
      <c r="M1" s="448"/>
      <c r="N1" s="451"/>
      <c r="O1" s="152"/>
    </row>
    <row r="2" spans="1:15" ht="43.8" thickBot="1" x14ac:dyDescent="0.35">
      <c r="A2" s="177" t="s">
        <v>342</v>
      </c>
      <c r="B2" s="178" t="s">
        <v>3</v>
      </c>
      <c r="C2" s="179" t="s">
        <v>4</v>
      </c>
      <c r="D2" s="180"/>
      <c r="E2" s="181" t="s">
        <v>5</v>
      </c>
      <c r="F2" s="178" t="s">
        <v>6</v>
      </c>
      <c r="G2" s="182" t="s">
        <v>341</v>
      </c>
      <c r="H2" s="178" t="s">
        <v>7</v>
      </c>
      <c r="I2" s="182" t="s">
        <v>337</v>
      </c>
      <c r="J2" s="178" t="s">
        <v>8</v>
      </c>
      <c r="K2" s="178" t="s">
        <v>9</v>
      </c>
      <c r="L2" s="182" t="s">
        <v>343</v>
      </c>
      <c r="M2" s="178" t="s">
        <v>11</v>
      </c>
      <c r="N2" s="183" t="s">
        <v>12</v>
      </c>
      <c r="O2" s="152"/>
    </row>
    <row r="3" spans="1:15" s="63" customFormat="1" x14ac:dyDescent="0.3">
      <c r="A3" s="154" t="s">
        <v>348</v>
      </c>
      <c r="B3" s="145">
        <v>82000</v>
      </c>
      <c r="C3" s="155">
        <v>311000</v>
      </c>
      <c r="D3" s="156"/>
      <c r="E3" s="157">
        <f>SUM(B3:C3)</f>
        <v>393000</v>
      </c>
      <c r="F3" s="158"/>
      <c r="G3" s="145"/>
      <c r="H3" s="145"/>
      <c r="I3" s="145"/>
      <c r="J3" s="145"/>
      <c r="K3" s="145"/>
      <c r="L3" s="145"/>
      <c r="M3" s="145"/>
      <c r="N3" s="159">
        <v>3</v>
      </c>
    </row>
    <row r="4" spans="1:15" s="63" customFormat="1" x14ac:dyDescent="0.3">
      <c r="A4" s="160" t="s">
        <v>325</v>
      </c>
      <c r="B4" s="161"/>
      <c r="C4" s="162"/>
      <c r="D4" s="163"/>
      <c r="E4" s="164"/>
      <c r="F4" s="165"/>
      <c r="G4" s="161"/>
      <c r="H4" s="161"/>
      <c r="I4" s="161"/>
      <c r="J4" s="161"/>
      <c r="K4" s="161"/>
      <c r="L4" s="161"/>
      <c r="M4" s="161"/>
      <c r="N4" s="166"/>
    </row>
    <row r="5" spans="1:15" s="63" customFormat="1" x14ac:dyDescent="0.3">
      <c r="A5" s="143" t="s">
        <v>326</v>
      </c>
      <c r="B5" s="142">
        <v>41660</v>
      </c>
      <c r="C5" s="151">
        <v>166644</v>
      </c>
      <c r="D5" s="150"/>
      <c r="E5" s="149"/>
      <c r="F5" s="147">
        <v>208304</v>
      </c>
      <c r="G5" s="142"/>
      <c r="H5" s="142"/>
      <c r="I5" s="142"/>
      <c r="J5" s="142"/>
      <c r="K5" s="142"/>
      <c r="L5" s="142"/>
      <c r="M5" s="142"/>
      <c r="N5" s="144">
        <v>1</v>
      </c>
    </row>
    <row r="6" spans="1:15" s="63" customFormat="1" x14ac:dyDescent="0.3">
      <c r="A6" s="160" t="s">
        <v>336</v>
      </c>
      <c r="B6" s="161">
        <v>15000</v>
      </c>
      <c r="C6" s="162">
        <v>60000</v>
      </c>
      <c r="D6" s="163"/>
      <c r="E6" s="164"/>
      <c r="F6" s="165">
        <v>75000</v>
      </c>
      <c r="G6" s="161"/>
      <c r="H6" s="161"/>
      <c r="I6" s="161"/>
      <c r="J6" s="161"/>
      <c r="K6" s="161"/>
      <c r="L6" s="161"/>
      <c r="M6" s="161"/>
      <c r="N6" s="166"/>
    </row>
    <row r="7" spans="1:15" s="63" customFormat="1" x14ac:dyDescent="0.3">
      <c r="A7" s="143" t="s">
        <v>329</v>
      </c>
      <c r="B7" s="142">
        <v>13000</v>
      </c>
      <c r="C7" s="151">
        <v>52000</v>
      </c>
      <c r="D7" s="150"/>
      <c r="E7" s="149"/>
      <c r="F7" s="148"/>
      <c r="G7" s="142">
        <v>65000</v>
      </c>
      <c r="H7" s="142"/>
      <c r="I7" s="142"/>
      <c r="J7" s="142"/>
      <c r="K7" s="142"/>
      <c r="L7" s="142"/>
      <c r="M7" s="142"/>
      <c r="N7" s="144">
        <v>28</v>
      </c>
    </row>
    <row r="8" spans="1:15" s="63" customFormat="1" x14ac:dyDescent="0.3">
      <c r="A8" s="160" t="s">
        <v>330</v>
      </c>
      <c r="B8" s="161">
        <v>20000</v>
      </c>
      <c r="C8" s="162">
        <v>5000</v>
      </c>
      <c r="D8" s="163"/>
      <c r="E8" s="164"/>
      <c r="F8" s="165">
        <v>5000</v>
      </c>
      <c r="G8" s="161">
        <v>20000</v>
      </c>
      <c r="H8" s="161"/>
      <c r="I8" s="161"/>
      <c r="J8" s="161"/>
      <c r="K8" s="161"/>
      <c r="L8" s="161"/>
      <c r="M8" s="161"/>
      <c r="N8" s="166">
        <v>30</v>
      </c>
    </row>
    <row r="9" spans="1:15" s="63" customFormat="1" x14ac:dyDescent="0.3">
      <c r="A9" s="143" t="s">
        <v>330</v>
      </c>
      <c r="B9" s="142">
        <v>20000</v>
      </c>
      <c r="C9" s="151">
        <v>5000</v>
      </c>
      <c r="D9" s="150"/>
      <c r="E9" s="149"/>
      <c r="F9" s="148"/>
      <c r="G9" s="142">
        <v>25000</v>
      </c>
      <c r="H9" s="142"/>
      <c r="I9" s="142"/>
      <c r="J9" s="142"/>
      <c r="K9" s="142"/>
      <c r="L9" s="142"/>
      <c r="M9" s="142"/>
      <c r="N9" s="144"/>
    </row>
    <row r="10" spans="1:15" s="63" customFormat="1" x14ac:dyDescent="0.3">
      <c r="A10" s="160" t="s">
        <v>327</v>
      </c>
      <c r="B10" s="161">
        <v>10800</v>
      </c>
      <c r="C10" s="162">
        <v>43200</v>
      </c>
      <c r="D10" s="163"/>
      <c r="E10" s="164"/>
      <c r="F10" s="165"/>
      <c r="G10" s="161"/>
      <c r="H10" s="161"/>
      <c r="I10" s="161">
        <v>54000</v>
      </c>
      <c r="J10" s="161"/>
      <c r="K10" s="161"/>
      <c r="L10" s="161"/>
      <c r="M10" s="161"/>
      <c r="N10" s="166">
        <v>7</v>
      </c>
    </row>
    <row r="11" spans="1:15" s="63" customFormat="1" x14ac:dyDescent="0.3">
      <c r="A11" s="143" t="s">
        <v>338</v>
      </c>
      <c r="B11" s="142">
        <v>27000</v>
      </c>
      <c r="C11" s="151">
        <v>108000</v>
      </c>
      <c r="D11" s="150"/>
      <c r="E11" s="149"/>
      <c r="F11" s="147"/>
      <c r="G11" s="142"/>
      <c r="H11" s="142"/>
      <c r="I11" s="142">
        <v>135000</v>
      </c>
      <c r="J11" s="142"/>
      <c r="K11" s="142"/>
      <c r="L11" s="142"/>
      <c r="M11" s="142"/>
      <c r="N11" s="144">
        <v>0</v>
      </c>
    </row>
    <row r="12" spans="1:15" s="63" customFormat="1" x14ac:dyDescent="0.3">
      <c r="A12" s="160" t="s">
        <v>328</v>
      </c>
      <c r="B12" s="161">
        <v>10800</v>
      </c>
      <c r="C12" s="162">
        <v>43200</v>
      </c>
      <c r="D12" s="163"/>
      <c r="E12" s="164"/>
      <c r="F12" s="165"/>
      <c r="G12" s="161"/>
      <c r="H12" s="161"/>
      <c r="I12" s="161">
        <v>54000</v>
      </c>
      <c r="J12" s="161"/>
      <c r="K12" s="161"/>
      <c r="L12" s="161"/>
      <c r="M12" s="161"/>
      <c r="N12" s="166">
        <v>3</v>
      </c>
    </row>
    <row r="13" spans="1:15" s="63" customFormat="1" x14ac:dyDescent="0.3">
      <c r="A13" s="143" t="s">
        <v>331</v>
      </c>
      <c r="B13" s="142">
        <v>9062</v>
      </c>
      <c r="C13" s="151">
        <v>36250</v>
      </c>
      <c r="D13" s="150"/>
      <c r="E13" s="149"/>
      <c r="F13" s="147">
        <v>45312</v>
      </c>
      <c r="G13" s="142"/>
      <c r="H13" s="142"/>
      <c r="I13" s="142"/>
      <c r="J13" s="142"/>
      <c r="K13" s="142"/>
      <c r="L13" s="142"/>
      <c r="M13" s="142"/>
      <c r="N13" s="144">
        <v>0</v>
      </c>
    </row>
    <row r="14" spans="1:15" s="63" customFormat="1" x14ac:dyDescent="0.3">
      <c r="A14" s="160" t="s">
        <v>25</v>
      </c>
      <c r="B14" s="161">
        <v>11914</v>
      </c>
      <c r="C14" s="162">
        <v>20286</v>
      </c>
      <c r="D14" s="163"/>
      <c r="E14" s="164"/>
      <c r="F14" s="165">
        <v>32200</v>
      </c>
      <c r="G14" s="161"/>
      <c r="H14" s="161"/>
      <c r="I14" s="161"/>
      <c r="J14" s="161"/>
      <c r="K14" s="161"/>
      <c r="L14" s="161"/>
      <c r="M14" s="161"/>
      <c r="N14" s="166">
        <v>1</v>
      </c>
    </row>
    <row r="15" spans="1:15" s="63" customFormat="1" ht="15" thickBot="1" x14ac:dyDescent="0.35">
      <c r="A15" s="143" t="s">
        <v>340</v>
      </c>
      <c r="B15" s="142">
        <v>2055</v>
      </c>
      <c r="C15" s="151">
        <v>8220</v>
      </c>
      <c r="D15" s="150"/>
      <c r="E15" s="149"/>
      <c r="F15" s="147"/>
      <c r="G15" s="142"/>
      <c r="H15" s="142"/>
      <c r="I15" s="142"/>
      <c r="J15" s="142"/>
      <c r="K15" s="142"/>
      <c r="L15" s="142">
        <v>10275</v>
      </c>
      <c r="M15" s="142"/>
      <c r="N15" s="144"/>
    </row>
    <row r="16" spans="1:15" ht="15" thickBot="1" x14ac:dyDescent="0.35">
      <c r="A16" s="168" t="s">
        <v>31</v>
      </c>
      <c r="B16" s="201">
        <f>SUM(B3:B15)</f>
        <v>263291</v>
      </c>
      <c r="C16" s="202">
        <f>SUM(C3:C15)</f>
        <v>858800</v>
      </c>
      <c r="D16" s="203"/>
      <c r="E16" s="204">
        <f t="shared" ref="E16:J16" si="0">SUM(E3:E14)</f>
        <v>393000</v>
      </c>
      <c r="F16" s="205">
        <f t="shared" si="0"/>
        <v>365816</v>
      </c>
      <c r="G16" s="206">
        <f t="shared" si="0"/>
        <v>110000</v>
      </c>
      <c r="H16" s="206">
        <f t="shared" si="0"/>
        <v>0</v>
      </c>
      <c r="I16" s="206">
        <f t="shared" si="0"/>
        <v>243000</v>
      </c>
      <c r="J16" s="206">
        <f t="shared" si="0"/>
        <v>0</v>
      </c>
      <c r="K16" s="206"/>
      <c r="L16" s="206">
        <f>SUM(L3:L15)</f>
        <v>10275</v>
      </c>
      <c r="M16" s="206">
        <f>SUM(M3:M15)</f>
        <v>0</v>
      </c>
      <c r="N16" s="207">
        <f>SUM(N3:N15)</f>
        <v>73</v>
      </c>
    </row>
    <row r="17" spans="1:13" ht="15" thickBot="1" x14ac:dyDescent="0.35">
      <c r="A17" s="167" t="s">
        <v>162</v>
      </c>
      <c r="B17" s="200">
        <f>SUM(B16:C16)</f>
        <v>1122091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s="141" customFormat="1" ht="15" thickBot="1" x14ac:dyDescent="0.35">
      <c r="A18" s="198" t="s">
        <v>349</v>
      </c>
      <c r="B18" s="199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3">
      <c r="A19" s="153" t="s">
        <v>382</v>
      </c>
      <c r="B19" s="197"/>
      <c r="C19" s="127"/>
      <c r="D19" s="127"/>
      <c r="E19" s="146"/>
      <c r="F19" s="127"/>
      <c r="G19" s="127"/>
      <c r="H19" s="127"/>
      <c r="I19" s="127"/>
      <c r="J19" s="127"/>
      <c r="K19" s="127"/>
      <c r="L19" s="127"/>
      <c r="M19" s="127"/>
    </row>
    <row r="20" spans="1:13" x14ac:dyDescent="0.3">
      <c r="A20" s="174" t="s">
        <v>309</v>
      </c>
      <c r="B20" s="170"/>
    </row>
    <row r="21" spans="1:13" x14ac:dyDescent="0.3">
      <c r="A21" s="171" t="s">
        <v>333</v>
      </c>
    </row>
    <row r="22" spans="1:13" x14ac:dyDescent="0.3">
      <c r="A22" s="175" t="s">
        <v>334</v>
      </c>
    </row>
    <row r="23" spans="1:13" x14ac:dyDescent="0.3">
      <c r="A23" s="172" t="s">
        <v>335</v>
      </c>
    </row>
    <row r="24" spans="1:13" s="141" customFormat="1" x14ac:dyDescent="0.3">
      <c r="A24" s="173" t="s">
        <v>332</v>
      </c>
    </row>
    <row r="25" spans="1:13" x14ac:dyDescent="0.3">
      <c r="A25" s="169" t="s">
        <v>339</v>
      </c>
    </row>
  </sheetData>
  <mergeCells count="2">
    <mergeCell ref="A1:C1"/>
    <mergeCell ref="E1:N1"/>
  </mergeCells>
  <pageMargins left="0.7" right="0.7" top="0.75" bottom="0.75" header="0.3" footer="0.3"/>
  <pageSetup scale="5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8"/>
  <sheetViews>
    <sheetView workbookViewId="0">
      <selection activeCell="M3" sqref="M3"/>
    </sheetView>
  </sheetViews>
  <sheetFormatPr defaultRowHeight="14.4" x14ac:dyDescent="0.3"/>
  <cols>
    <col min="1" max="1" width="43.109375" bestFit="1" customWidth="1"/>
    <col min="2" max="2" width="18.44140625" style="127" bestFit="1" customWidth="1"/>
    <col min="3" max="3" width="16.88671875" style="127" customWidth="1"/>
    <col min="5" max="5" width="12.6640625" customWidth="1"/>
    <col min="6" max="6" width="13.5546875" style="127" customWidth="1"/>
    <col min="7" max="7" width="19.5546875" bestFit="1" customWidth="1"/>
    <col min="8" max="8" width="16.88671875" style="132" bestFit="1" customWidth="1"/>
    <col min="9" max="9" width="11" customWidth="1"/>
    <col min="10" max="10" width="9.88671875" customWidth="1"/>
    <col min="11" max="11" width="12.33203125" customWidth="1"/>
    <col min="12" max="12" width="16" style="108" bestFit="1" customWidth="1"/>
    <col min="13" max="13" width="5.109375" bestFit="1" customWidth="1"/>
  </cols>
  <sheetData>
    <row r="1" spans="1:13" x14ac:dyDescent="0.3">
      <c r="A1" s="1"/>
      <c r="B1" s="133" t="s">
        <v>0</v>
      </c>
      <c r="C1" s="134"/>
      <c r="D1" s="135"/>
      <c r="E1" s="135"/>
      <c r="F1" s="134"/>
      <c r="G1" s="136" t="s">
        <v>1</v>
      </c>
      <c r="H1" s="128"/>
      <c r="I1" s="1"/>
      <c r="J1" s="1"/>
      <c r="K1" s="1"/>
      <c r="L1" s="103"/>
      <c r="M1" s="4"/>
    </row>
    <row r="2" spans="1:13" ht="30" customHeight="1" x14ac:dyDescent="0.3">
      <c r="A2" s="5" t="s">
        <v>311</v>
      </c>
      <c r="B2" s="123" t="s">
        <v>3</v>
      </c>
      <c r="C2" s="123" t="s">
        <v>4</v>
      </c>
      <c r="D2" s="6"/>
      <c r="E2" s="6" t="s">
        <v>5</v>
      </c>
      <c r="F2" s="123" t="s">
        <v>6</v>
      </c>
      <c r="G2" s="6" t="s">
        <v>7</v>
      </c>
      <c r="H2" s="129" t="s">
        <v>306</v>
      </c>
      <c r="I2" s="6" t="s">
        <v>8</v>
      </c>
      <c r="J2" s="5" t="s">
        <v>9</v>
      </c>
      <c r="K2" s="6" t="s">
        <v>10</v>
      </c>
      <c r="L2" s="104" t="s">
        <v>11</v>
      </c>
      <c r="M2" s="138" t="s">
        <v>12</v>
      </c>
    </row>
    <row r="3" spans="1:13" x14ac:dyDescent="0.3">
      <c r="A3" s="8" t="s">
        <v>13</v>
      </c>
      <c r="B3" s="124">
        <v>78000</v>
      </c>
      <c r="C3" s="124">
        <v>295000</v>
      </c>
      <c r="D3" s="10"/>
      <c r="E3" s="9">
        <f>SUM(B3:D3)</f>
        <v>373000</v>
      </c>
      <c r="F3" s="124"/>
      <c r="G3" s="9"/>
      <c r="H3" s="130"/>
      <c r="I3" s="9"/>
      <c r="J3" s="11"/>
      <c r="K3" s="9"/>
      <c r="L3" s="105"/>
      <c r="M3" s="139">
        <v>3</v>
      </c>
    </row>
    <row r="4" spans="1:13" x14ac:dyDescent="0.3">
      <c r="A4" s="8" t="s">
        <v>14</v>
      </c>
      <c r="B4" s="125"/>
      <c r="C4" s="125"/>
      <c r="D4" s="10"/>
      <c r="E4" s="9"/>
      <c r="F4" s="125"/>
      <c r="G4" s="9"/>
      <c r="H4" s="130"/>
      <c r="I4" s="9"/>
      <c r="J4" s="11"/>
      <c r="K4" s="9"/>
      <c r="L4" s="105"/>
      <c r="M4" s="139"/>
    </row>
    <row r="5" spans="1:13" x14ac:dyDescent="0.3">
      <c r="A5" s="8" t="s">
        <v>312</v>
      </c>
      <c r="B5" s="124">
        <v>39870</v>
      </c>
      <c r="C5" s="124">
        <v>101760</v>
      </c>
      <c r="D5" s="10"/>
      <c r="E5" s="9"/>
      <c r="F5" s="124">
        <f>SUM(B5:E5)</f>
        <v>141630</v>
      </c>
      <c r="G5" s="9"/>
      <c r="H5" s="130"/>
      <c r="I5" s="9"/>
      <c r="J5" s="11"/>
      <c r="K5" s="9"/>
      <c r="L5" s="105"/>
      <c r="M5" s="139"/>
    </row>
    <row r="6" spans="1:13" x14ac:dyDescent="0.3">
      <c r="A6" s="8" t="s">
        <v>16</v>
      </c>
      <c r="B6" s="124">
        <v>15000</v>
      </c>
      <c r="C6" s="124">
        <v>60000</v>
      </c>
      <c r="D6" s="10"/>
      <c r="E6" s="9"/>
      <c r="F6" s="124">
        <f>SUM(B6:E6)</f>
        <v>75000</v>
      </c>
      <c r="G6" s="9"/>
      <c r="H6" s="130"/>
      <c r="I6" s="9"/>
      <c r="J6" s="11"/>
      <c r="K6" s="9"/>
      <c r="L6" s="105"/>
      <c r="M6" s="139"/>
    </row>
    <row r="7" spans="1:13" x14ac:dyDescent="0.3">
      <c r="A7" s="14" t="s">
        <v>313</v>
      </c>
      <c r="B7" s="124">
        <v>3000</v>
      </c>
      <c r="C7" s="124">
        <v>12000</v>
      </c>
      <c r="D7" s="10"/>
      <c r="E7" s="9"/>
      <c r="F7" s="124">
        <v>15000</v>
      </c>
      <c r="G7" s="9"/>
      <c r="H7" s="130"/>
      <c r="I7" s="9"/>
      <c r="J7" s="11"/>
      <c r="K7" s="9"/>
      <c r="L7" s="105"/>
      <c r="M7" s="139"/>
    </row>
    <row r="8" spans="1:13" x14ac:dyDescent="0.3">
      <c r="A8" s="14" t="s">
        <v>314</v>
      </c>
      <c r="B8" s="124"/>
      <c r="C8" s="124">
        <v>100000</v>
      </c>
      <c r="D8" s="10"/>
      <c r="E8" s="9"/>
      <c r="F8" s="124"/>
      <c r="G8" s="9"/>
      <c r="H8" s="130">
        <v>100000</v>
      </c>
      <c r="I8" s="9"/>
      <c r="J8" s="11"/>
      <c r="K8" s="9"/>
      <c r="L8" s="105"/>
      <c r="M8" s="139">
        <v>2</v>
      </c>
    </row>
    <row r="9" spans="1:13" x14ac:dyDescent="0.3">
      <c r="A9" s="14" t="s">
        <v>316</v>
      </c>
      <c r="B9" s="124">
        <v>2400</v>
      </c>
      <c r="C9" s="124">
        <v>9600</v>
      </c>
      <c r="D9" s="10"/>
      <c r="E9" s="9"/>
      <c r="F9" s="124">
        <v>12000</v>
      </c>
      <c r="G9" s="9"/>
      <c r="H9" s="130"/>
      <c r="I9" s="9"/>
      <c r="J9" s="11"/>
      <c r="K9" s="9"/>
      <c r="L9" s="105"/>
      <c r="M9" s="139">
        <v>2</v>
      </c>
    </row>
    <row r="10" spans="1:13" x14ac:dyDescent="0.3">
      <c r="A10" s="14" t="s">
        <v>317</v>
      </c>
      <c r="B10" s="124">
        <v>1700</v>
      </c>
      <c r="C10" s="124">
        <v>6800</v>
      </c>
      <c r="D10" s="10"/>
      <c r="E10" s="9"/>
      <c r="F10" s="124">
        <v>8500</v>
      </c>
      <c r="G10" s="9"/>
      <c r="H10" s="130"/>
      <c r="I10" s="9"/>
      <c r="J10" s="11"/>
      <c r="K10" s="9"/>
      <c r="L10" s="105"/>
      <c r="M10" s="139">
        <v>1</v>
      </c>
    </row>
    <row r="11" spans="1:13" x14ac:dyDescent="0.3">
      <c r="A11" s="14" t="s">
        <v>318</v>
      </c>
      <c r="B11" s="124">
        <v>60000</v>
      </c>
      <c r="C11" s="124">
        <v>15000</v>
      </c>
      <c r="D11" s="10"/>
      <c r="E11" s="9"/>
      <c r="F11" s="124">
        <v>75000</v>
      </c>
      <c r="G11" s="9"/>
      <c r="H11" s="130"/>
      <c r="I11" s="9"/>
      <c r="J11" s="11"/>
      <c r="K11" s="9"/>
      <c r="L11" s="105"/>
      <c r="M11" s="139"/>
    </row>
    <row r="12" spans="1:13" x14ac:dyDescent="0.3">
      <c r="A12" s="14" t="s">
        <v>38</v>
      </c>
      <c r="B12" s="124">
        <v>14000</v>
      </c>
      <c r="C12" s="124">
        <v>56000</v>
      </c>
      <c r="D12" s="10"/>
      <c r="E12" s="9"/>
      <c r="F12" s="124"/>
      <c r="G12" s="9"/>
      <c r="H12" s="130">
        <v>70000</v>
      </c>
      <c r="I12" s="9"/>
      <c r="J12" s="11"/>
      <c r="K12" s="9"/>
      <c r="L12" s="105"/>
      <c r="M12" s="139">
        <v>1</v>
      </c>
    </row>
    <row r="13" spans="1:13" x14ac:dyDescent="0.3">
      <c r="A13" s="14" t="s">
        <v>319</v>
      </c>
      <c r="B13" s="124">
        <v>17000</v>
      </c>
      <c r="C13" s="124">
        <v>68000</v>
      </c>
      <c r="D13" s="10"/>
      <c r="E13" s="9"/>
      <c r="G13" s="9"/>
      <c r="H13" s="124">
        <f>SUM(B13:C13)</f>
        <v>85000</v>
      </c>
      <c r="I13" s="9"/>
      <c r="J13" s="11"/>
      <c r="K13" s="9"/>
      <c r="L13" s="105"/>
      <c r="M13" s="139">
        <v>3</v>
      </c>
    </row>
    <row r="14" spans="1:13" x14ac:dyDescent="0.3">
      <c r="A14" s="14" t="s">
        <v>321</v>
      </c>
      <c r="B14" s="124">
        <v>43200</v>
      </c>
      <c r="C14" s="124">
        <v>10800</v>
      </c>
      <c r="D14" s="10"/>
      <c r="E14" s="9"/>
      <c r="G14" s="9"/>
      <c r="H14" s="124">
        <f>SUM(B14:C14)</f>
        <v>54000</v>
      </c>
      <c r="I14" s="9"/>
      <c r="J14" s="11"/>
      <c r="K14" s="9"/>
      <c r="L14" s="105"/>
      <c r="M14" s="139">
        <v>1</v>
      </c>
    </row>
    <row r="15" spans="1:13" x14ac:dyDescent="0.3">
      <c r="A15" s="14" t="s">
        <v>322</v>
      </c>
      <c r="B15" s="124"/>
      <c r="C15" s="124">
        <v>3375000</v>
      </c>
      <c r="D15" s="10"/>
      <c r="E15" s="9"/>
      <c r="G15" s="9"/>
      <c r="H15" s="124"/>
      <c r="I15" s="9"/>
      <c r="J15" s="11"/>
      <c r="L15" s="137">
        <v>3750000</v>
      </c>
      <c r="M15" s="139"/>
    </row>
    <row r="16" spans="1:13" x14ac:dyDescent="0.3">
      <c r="A16" s="14" t="s">
        <v>322</v>
      </c>
      <c r="B16" s="124">
        <v>80000</v>
      </c>
      <c r="C16" s="124">
        <v>320000</v>
      </c>
      <c r="D16" s="10"/>
      <c r="E16" s="9"/>
      <c r="G16" s="9"/>
      <c r="H16" s="124"/>
      <c r="I16" s="9"/>
      <c r="J16" s="11"/>
      <c r="K16" s="9">
        <v>400000</v>
      </c>
      <c r="M16" s="139"/>
    </row>
    <row r="17" spans="1:13" x14ac:dyDescent="0.3">
      <c r="A17" s="14" t="s">
        <v>56</v>
      </c>
      <c r="B17" s="124">
        <v>5000</v>
      </c>
      <c r="C17" s="124">
        <v>20000</v>
      </c>
      <c r="D17" s="10"/>
      <c r="E17" s="9"/>
      <c r="F17" s="127">
        <v>25000</v>
      </c>
      <c r="G17" s="9"/>
      <c r="H17" s="124"/>
      <c r="I17" s="9"/>
      <c r="J17" s="11"/>
      <c r="L17" s="105"/>
      <c r="M17" s="139"/>
    </row>
    <row r="18" spans="1:13" x14ac:dyDescent="0.3">
      <c r="A18" s="14" t="s">
        <v>324</v>
      </c>
      <c r="B18" s="124">
        <v>50000</v>
      </c>
      <c r="C18" s="124">
        <v>12500</v>
      </c>
      <c r="D18" s="10"/>
      <c r="E18" s="9"/>
      <c r="F18" s="127">
        <v>62500</v>
      </c>
      <c r="G18" s="9"/>
      <c r="H18" s="124"/>
      <c r="I18" s="9"/>
      <c r="J18" s="11"/>
      <c r="L18" s="105"/>
      <c r="M18" s="139">
        <v>4</v>
      </c>
    </row>
    <row r="19" spans="1:13" x14ac:dyDescent="0.3">
      <c r="A19" s="14" t="s">
        <v>25</v>
      </c>
      <c r="B19" s="124">
        <v>10831</v>
      </c>
      <c r="C19" s="124">
        <v>18441</v>
      </c>
      <c r="D19" s="10"/>
      <c r="E19" s="9"/>
      <c r="F19" s="124">
        <v>29272</v>
      </c>
      <c r="G19" s="9"/>
      <c r="H19" s="124"/>
      <c r="I19" s="9"/>
      <c r="J19" s="9"/>
      <c r="K19" s="9"/>
      <c r="L19" s="106"/>
      <c r="M19" s="140">
        <v>1</v>
      </c>
    </row>
    <row r="20" spans="1:13" x14ac:dyDescent="0.3">
      <c r="A20" s="14" t="s">
        <v>30</v>
      </c>
      <c r="B20" s="124">
        <v>152.87</v>
      </c>
      <c r="C20" s="124">
        <v>4943</v>
      </c>
      <c r="D20" s="10"/>
      <c r="E20" s="9"/>
      <c r="F20" s="124"/>
      <c r="G20" s="9"/>
      <c r="H20" s="124"/>
      <c r="I20" s="9"/>
      <c r="J20" s="9"/>
      <c r="K20" s="9">
        <v>5096</v>
      </c>
      <c r="L20" s="105"/>
      <c r="M20" s="140"/>
    </row>
    <row r="21" spans="1:13" ht="15" thickBot="1" x14ac:dyDescent="0.35">
      <c r="A21" s="20" t="s">
        <v>31</v>
      </c>
      <c r="B21" s="126">
        <f>SUM(B3:B20)</f>
        <v>420153.87</v>
      </c>
      <c r="C21" s="126">
        <f>SUM(C3:C20)</f>
        <v>4485844</v>
      </c>
      <c r="D21" s="22"/>
      <c r="E21" s="21">
        <f>SUM(E3:E20)</f>
        <v>373000</v>
      </c>
      <c r="F21" s="126">
        <f>SUM(F3:F20)</f>
        <v>443902</v>
      </c>
      <c r="G21" s="21">
        <f>SUM(G3:G20)</f>
        <v>0</v>
      </c>
      <c r="H21" s="131">
        <f>SUM(H3:H20)</f>
        <v>309000</v>
      </c>
      <c r="I21" s="21">
        <f>SUM(I3:I20)</f>
        <v>0</v>
      </c>
      <c r="J21" s="21"/>
      <c r="K21" s="21">
        <f>SUM(K3:K20)</f>
        <v>405096</v>
      </c>
      <c r="L21" s="107">
        <f>SUM(L3:L20)</f>
        <v>3750000</v>
      </c>
      <c r="M21" s="122">
        <f>SUM(M3:M20)</f>
        <v>18</v>
      </c>
    </row>
    <row r="22" spans="1:13" ht="15" thickTop="1" x14ac:dyDescent="0.3"/>
    <row r="23" spans="1:13" x14ac:dyDescent="0.3">
      <c r="A23" s="15" t="s">
        <v>162</v>
      </c>
      <c r="B23" s="127">
        <f>SUM(B21:C21)</f>
        <v>4905997.87</v>
      </c>
    </row>
    <row r="24" spans="1:13" x14ac:dyDescent="0.3">
      <c r="A24" s="15" t="s">
        <v>309</v>
      </c>
    </row>
    <row r="25" spans="1:13" x14ac:dyDescent="0.3">
      <c r="A25" s="15" t="s">
        <v>315</v>
      </c>
    </row>
    <row r="26" spans="1:13" x14ac:dyDescent="0.3">
      <c r="A26" s="15" t="s">
        <v>320</v>
      </c>
    </row>
    <row r="27" spans="1:13" x14ac:dyDescent="0.3">
      <c r="A27" s="15" t="s">
        <v>323</v>
      </c>
    </row>
    <row r="28" spans="1:13" x14ac:dyDescent="0.3">
      <c r="A28" s="15"/>
    </row>
  </sheetData>
  <pageMargins left="0.7" right="0.7" top="0.75" bottom="0.75" header="0.3" footer="0.3"/>
  <pageSetup scale="5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1"/>
  <sheetViews>
    <sheetView zoomScaleNormal="100" workbookViewId="0">
      <selection activeCell="M3" sqref="M3"/>
    </sheetView>
  </sheetViews>
  <sheetFormatPr defaultRowHeight="14.4" x14ac:dyDescent="0.3"/>
  <cols>
    <col min="1" max="1" width="37.33203125" customWidth="1"/>
    <col min="2" max="2" width="11.88671875" customWidth="1"/>
    <col min="3" max="3" width="16.88671875" customWidth="1"/>
    <col min="5" max="5" width="12.6640625" customWidth="1"/>
    <col min="6" max="6" width="13.5546875" customWidth="1"/>
    <col min="7" max="7" width="11.6640625" customWidth="1"/>
    <col min="8" max="8" width="20.109375" style="101" customWidth="1"/>
    <col min="9" max="9" width="11" customWidth="1"/>
    <col min="10" max="10" width="9.88671875" customWidth="1"/>
    <col min="11" max="11" width="12.33203125" customWidth="1"/>
    <col min="12" max="12" width="16.88671875" style="108" customWidth="1"/>
  </cols>
  <sheetData>
    <row r="1" spans="1:13" x14ac:dyDescent="0.3">
      <c r="A1" s="1"/>
      <c r="B1" s="2" t="s">
        <v>0</v>
      </c>
      <c r="C1" s="3"/>
      <c r="D1" s="3"/>
      <c r="E1" s="1"/>
      <c r="F1" s="1"/>
      <c r="G1" s="2" t="s">
        <v>1</v>
      </c>
      <c r="H1" s="97"/>
      <c r="I1" s="1"/>
      <c r="J1" s="1"/>
      <c r="K1" s="1"/>
      <c r="L1" s="103"/>
      <c r="M1" s="4"/>
    </row>
    <row r="2" spans="1:13" ht="30" customHeight="1" x14ac:dyDescent="0.3">
      <c r="A2" s="5" t="s">
        <v>298</v>
      </c>
      <c r="B2" s="6" t="s">
        <v>3</v>
      </c>
      <c r="C2" s="6" t="s">
        <v>4</v>
      </c>
      <c r="D2" s="6"/>
      <c r="E2" s="6" t="s">
        <v>5</v>
      </c>
      <c r="F2" s="6" t="s">
        <v>6</v>
      </c>
      <c r="G2" s="6" t="s">
        <v>7</v>
      </c>
      <c r="H2" s="102" t="s">
        <v>306</v>
      </c>
      <c r="I2" s="6" t="s">
        <v>8</v>
      </c>
      <c r="J2" s="5" t="s">
        <v>9</v>
      </c>
      <c r="K2" s="6" t="s">
        <v>10</v>
      </c>
      <c r="L2" s="104" t="s">
        <v>11</v>
      </c>
      <c r="M2" s="7" t="s">
        <v>12</v>
      </c>
    </row>
    <row r="3" spans="1:13" x14ac:dyDescent="0.3">
      <c r="A3" s="8" t="s">
        <v>13</v>
      </c>
      <c r="B3" s="9">
        <v>78000</v>
      </c>
      <c r="C3" s="9">
        <v>295000</v>
      </c>
      <c r="D3" s="10"/>
      <c r="E3" s="9">
        <f>SUM(B3:D3)</f>
        <v>373000</v>
      </c>
      <c r="F3" s="9"/>
      <c r="G3" s="9"/>
      <c r="H3" s="98"/>
      <c r="I3" s="9"/>
      <c r="J3" s="11"/>
      <c r="K3" s="9"/>
      <c r="L3" s="105"/>
      <c r="M3" s="12">
        <v>3</v>
      </c>
    </row>
    <row r="4" spans="1:13" x14ac:dyDescent="0.3">
      <c r="A4" s="8" t="s">
        <v>14</v>
      </c>
      <c r="B4" s="13"/>
      <c r="C4" s="13"/>
      <c r="D4" s="10"/>
      <c r="E4" s="9"/>
      <c r="F4" s="13"/>
      <c r="G4" s="9"/>
      <c r="H4" s="98"/>
      <c r="I4" s="9"/>
      <c r="J4" s="11"/>
      <c r="K4" s="9"/>
      <c r="L4" s="105"/>
      <c r="M4" s="12"/>
    </row>
    <row r="5" spans="1:13" x14ac:dyDescent="0.3">
      <c r="A5" s="8" t="s">
        <v>15</v>
      </c>
      <c r="B5" s="9">
        <v>39870</v>
      </c>
      <c r="C5" s="9">
        <v>101760</v>
      </c>
      <c r="D5" s="10"/>
      <c r="E5" s="9"/>
      <c r="F5" s="9">
        <f>SUM(B5:E5)</f>
        <v>141630</v>
      </c>
      <c r="G5" s="9"/>
      <c r="H5" s="98"/>
      <c r="I5" s="9"/>
      <c r="J5" s="11"/>
      <c r="K5" s="9"/>
      <c r="L5" s="105"/>
      <c r="M5" s="12"/>
    </row>
    <row r="6" spans="1:13" x14ac:dyDescent="0.3">
      <c r="A6" s="8" t="s">
        <v>16</v>
      </c>
      <c r="B6" s="9">
        <v>15000</v>
      </c>
      <c r="C6" s="9">
        <v>60000</v>
      </c>
      <c r="D6" s="10"/>
      <c r="E6" s="9"/>
      <c r="F6" s="9">
        <f>SUM(B6:E6)</f>
        <v>75000</v>
      </c>
      <c r="G6" s="9"/>
      <c r="H6" s="98"/>
      <c r="I6" s="9"/>
      <c r="J6" s="11"/>
      <c r="K6" s="9"/>
      <c r="L6" s="105"/>
      <c r="M6" s="12"/>
    </row>
    <row r="7" spans="1:13" x14ac:dyDescent="0.3">
      <c r="A7" s="14" t="s">
        <v>299</v>
      </c>
      <c r="B7" s="9">
        <v>3200</v>
      </c>
      <c r="C7" s="9">
        <v>12800</v>
      </c>
      <c r="D7" s="10"/>
      <c r="E7" s="9"/>
      <c r="F7" s="9"/>
      <c r="G7" s="9"/>
      <c r="H7" s="98">
        <v>16000</v>
      </c>
      <c r="I7" s="9"/>
      <c r="J7" s="11"/>
      <c r="K7" s="9"/>
      <c r="L7" s="105"/>
      <c r="M7" s="12">
        <v>3</v>
      </c>
    </row>
    <row r="8" spans="1:13" x14ac:dyDescent="0.3">
      <c r="A8" s="14" t="s">
        <v>304</v>
      </c>
      <c r="B8" s="9">
        <v>5000</v>
      </c>
      <c r="C8" s="9">
        <v>0</v>
      </c>
      <c r="D8" s="10"/>
      <c r="E8" s="9"/>
      <c r="F8" s="9">
        <v>5000</v>
      </c>
      <c r="G8" s="9"/>
      <c r="H8" s="98"/>
      <c r="I8" s="9"/>
      <c r="J8" s="11"/>
      <c r="K8" s="9"/>
      <c r="L8" s="105"/>
      <c r="M8" s="12">
        <v>0.75</v>
      </c>
    </row>
    <row r="9" spans="1:13" x14ac:dyDescent="0.3">
      <c r="A9" s="14" t="s">
        <v>300</v>
      </c>
      <c r="B9" s="9">
        <v>1000</v>
      </c>
      <c r="C9" s="9">
        <v>4000</v>
      </c>
      <c r="D9" s="10"/>
      <c r="E9" s="9"/>
      <c r="F9" s="9">
        <v>5000</v>
      </c>
      <c r="G9" s="9"/>
      <c r="H9" s="98"/>
      <c r="I9" s="9"/>
      <c r="J9" s="11"/>
      <c r="K9" s="9"/>
      <c r="L9" s="105"/>
      <c r="M9" s="12"/>
    </row>
    <row r="10" spans="1:13" x14ac:dyDescent="0.3">
      <c r="A10" s="14" t="s">
        <v>301</v>
      </c>
      <c r="B10" s="9">
        <v>1800</v>
      </c>
      <c r="C10" s="9">
        <v>16200</v>
      </c>
      <c r="D10" s="10"/>
      <c r="E10" s="9"/>
      <c r="F10" s="9"/>
      <c r="G10" s="9">
        <v>18000</v>
      </c>
      <c r="H10" s="98"/>
      <c r="I10" s="9"/>
      <c r="J10" s="11"/>
      <c r="K10" s="9"/>
      <c r="L10" s="105"/>
      <c r="M10" s="12"/>
    </row>
    <row r="11" spans="1:13" x14ac:dyDescent="0.3">
      <c r="A11" s="14" t="s">
        <v>302</v>
      </c>
      <c r="B11" s="9">
        <v>96000</v>
      </c>
      <c r="C11" s="9">
        <v>384000</v>
      </c>
      <c r="D11" s="10"/>
      <c r="E11" s="9"/>
      <c r="F11" s="9">
        <v>240000</v>
      </c>
      <c r="G11" s="9"/>
      <c r="H11" s="98"/>
      <c r="I11" s="9">
        <v>120000</v>
      </c>
      <c r="J11" s="11"/>
      <c r="K11" s="9">
        <v>60000</v>
      </c>
      <c r="L11" s="105"/>
      <c r="M11" s="12">
        <v>24</v>
      </c>
    </row>
    <row r="12" spans="1:13" x14ac:dyDescent="0.3">
      <c r="A12" s="14" t="s">
        <v>303</v>
      </c>
      <c r="B12" s="9"/>
      <c r="C12" s="9">
        <v>400000</v>
      </c>
      <c r="D12" s="10"/>
      <c r="E12" s="9"/>
      <c r="F12" s="9">
        <v>100000</v>
      </c>
      <c r="G12" s="9"/>
      <c r="H12" s="98"/>
      <c r="I12" s="9"/>
      <c r="J12" s="11"/>
      <c r="K12" s="9">
        <v>300000</v>
      </c>
      <c r="L12" s="105"/>
      <c r="M12" s="12"/>
    </row>
    <row r="13" spans="1:13" x14ac:dyDescent="0.3">
      <c r="A13" s="14" t="s">
        <v>305</v>
      </c>
      <c r="B13" s="9">
        <v>19785</v>
      </c>
      <c r="C13" s="9">
        <v>80215</v>
      </c>
      <c r="D13" s="10"/>
      <c r="E13" s="9"/>
      <c r="F13" s="9"/>
      <c r="G13" s="9"/>
      <c r="H13" s="98"/>
      <c r="I13" s="9">
        <v>100000</v>
      </c>
      <c r="J13" s="11"/>
      <c r="K13" s="9"/>
      <c r="L13" s="105"/>
      <c r="M13" s="12">
        <v>15</v>
      </c>
    </row>
    <row r="14" spans="1:13" x14ac:dyDescent="0.3">
      <c r="A14" s="14" t="s">
        <v>25</v>
      </c>
      <c r="B14" s="9">
        <v>10831</v>
      </c>
      <c r="C14" s="9">
        <v>18441</v>
      </c>
      <c r="D14" s="10"/>
      <c r="E14" s="9"/>
      <c r="F14" s="9">
        <v>29272</v>
      </c>
      <c r="G14" s="9"/>
      <c r="H14" s="9"/>
      <c r="I14" s="9"/>
      <c r="J14" s="9"/>
      <c r="K14" s="9"/>
      <c r="L14" s="106"/>
      <c r="M14" s="121"/>
    </row>
    <row r="15" spans="1:13" x14ac:dyDescent="0.3">
      <c r="A15" s="14" t="s">
        <v>30</v>
      </c>
      <c r="B15" s="9">
        <v>152.87</v>
      </c>
      <c r="C15" s="9">
        <v>4943</v>
      </c>
      <c r="D15" s="10"/>
      <c r="E15" s="9"/>
      <c r="F15" s="9"/>
      <c r="G15" s="9"/>
      <c r="H15" s="9"/>
      <c r="I15" s="9"/>
      <c r="J15" s="9"/>
      <c r="K15" s="9">
        <v>5096</v>
      </c>
      <c r="L15" s="105"/>
      <c r="M15" s="121"/>
    </row>
    <row r="16" spans="1:13" x14ac:dyDescent="0.3">
      <c r="A16" s="14" t="s">
        <v>29</v>
      </c>
      <c r="B16" s="9"/>
      <c r="C16" s="9">
        <v>69999</v>
      </c>
      <c r="D16" s="10"/>
      <c r="E16" s="9"/>
      <c r="F16" s="9"/>
      <c r="G16" s="9"/>
      <c r="H16" s="9"/>
      <c r="I16" s="9"/>
      <c r="J16" s="9"/>
      <c r="K16" s="9"/>
      <c r="L16" s="105">
        <v>69999</v>
      </c>
      <c r="M16" s="121"/>
    </row>
    <row r="17" spans="1:13" ht="15" thickBot="1" x14ac:dyDescent="0.35">
      <c r="A17" s="20" t="s">
        <v>31</v>
      </c>
      <c r="B17" s="21">
        <v>218816</v>
      </c>
      <c r="C17" s="21">
        <v>908353</v>
      </c>
      <c r="D17" s="22"/>
      <c r="E17" s="21">
        <f>SUM(E3:E16)</f>
        <v>373000</v>
      </c>
      <c r="F17" s="21">
        <f>SUM(F3:F16)</f>
        <v>595902</v>
      </c>
      <c r="G17" s="21">
        <f>SUM(G3:G16)</f>
        <v>18000</v>
      </c>
      <c r="H17" s="100">
        <f>SUM(H3:H16)</f>
        <v>16000</v>
      </c>
      <c r="I17" s="21">
        <f>SUM(I3:I16)</f>
        <v>220000</v>
      </c>
      <c r="J17" s="21"/>
      <c r="K17" s="21">
        <f>SUM(K3:K16)</f>
        <v>365096</v>
      </c>
      <c r="L17" s="107">
        <f>SUM(L3:L16)</f>
        <v>69999</v>
      </c>
      <c r="M17" s="122">
        <f>SUM(M3:M16)</f>
        <v>45.75</v>
      </c>
    </row>
    <row r="18" spans="1:13" ht="15" thickTop="1" x14ac:dyDescent="0.3"/>
    <row r="19" spans="1:13" x14ac:dyDescent="0.3">
      <c r="A19" s="15" t="s">
        <v>162</v>
      </c>
      <c r="B19" s="54">
        <f>SUM(B17:C17)</f>
        <v>1127169</v>
      </c>
    </row>
    <row r="20" spans="1:13" x14ac:dyDescent="0.3">
      <c r="A20" s="15" t="s">
        <v>309</v>
      </c>
    </row>
    <row r="21" spans="1:13" x14ac:dyDescent="0.3">
      <c r="A21" s="15" t="s">
        <v>310</v>
      </c>
    </row>
  </sheetData>
  <pageMargins left="0.7" right="0.7" top="0.75" bottom="0.75" header="0.3" footer="0.3"/>
  <pageSetup scale="6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4"/>
  <sheetViews>
    <sheetView topLeftCell="A13" zoomScale="75" zoomScaleNormal="75" workbookViewId="0">
      <selection activeCell="E3" sqref="E3"/>
    </sheetView>
  </sheetViews>
  <sheetFormatPr defaultRowHeight="14.4" x14ac:dyDescent="0.3"/>
  <cols>
    <col min="1" max="1" width="44.44140625" customWidth="1"/>
    <col min="2" max="2" width="14.5546875" customWidth="1"/>
    <col min="3" max="3" width="18.109375" customWidth="1"/>
    <col min="5" max="6" width="14.88671875" customWidth="1"/>
    <col min="7" max="7" width="9.6640625" bestFit="1" customWidth="1"/>
    <col min="8" max="8" width="15.44140625" style="101" customWidth="1"/>
    <col min="11" max="11" width="13.6640625" customWidth="1"/>
    <col min="12" max="12" width="15.88671875" customWidth="1"/>
    <col min="13" max="13" width="11.33203125" bestFit="1" customWidth="1"/>
  </cols>
  <sheetData>
    <row r="1" spans="1:13" x14ac:dyDescent="0.3">
      <c r="A1" s="1"/>
      <c r="B1" s="2" t="s">
        <v>0</v>
      </c>
      <c r="C1" s="3"/>
      <c r="D1" s="3"/>
      <c r="E1" s="1"/>
      <c r="F1" s="1"/>
      <c r="G1" s="2" t="s">
        <v>1</v>
      </c>
      <c r="H1" s="97"/>
      <c r="I1" s="1"/>
      <c r="J1" s="1"/>
      <c r="K1" s="1"/>
      <c r="L1" s="1"/>
      <c r="M1" s="4"/>
    </row>
    <row r="2" spans="1:13" ht="27" x14ac:dyDescent="0.3">
      <c r="A2" s="5" t="s">
        <v>2</v>
      </c>
      <c r="B2" s="6" t="s">
        <v>3</v>
      </c>
      <c r="C2" s="6" t="s">
        <v>4</v>
      </c>
      <c r="D2" s="6"/>
      <c r="E2" s="6" t="s">
        <v>5</v>
      </c>
      <c r="F2" s="6" t="s">
        <v>6</v>
      </c>
      <c r="G2" s="6" t="s">
        <v>7</v>
      </c>
      <c r="H2" s="102" t="s">
        <v>307</v>
      </c>
      <c r="I2" s="6" t="s">
        <v>8</v>
      </c>
      <c r="J2" s="5" t="s">
        <v>9</v>
      </c>
      <c r="K2" s="6" t="s">
        <v>10</v>
      </c>
      <c r="L2" s="6" t="s">
        <v>11</v>
      </c>
      <c r="M2" s="7" t="s">
        <v>12</v>
      </c>
    </row>
    <row r="3" spans="1:13" x14ac:dyDescent="0.3">
      <c r="A3" s="8" t="s">
        <v>13</v>
      </c>
      <c r="B3" s="9">
        <v>68000</v>
      </c>
      <c r="C3" s="9">
        <v>262000</v>
      </c>
      <c r="D3" s="10"/>
      <c r="E3" s="9">
        <v>342500</v>
      </c>
      <c r="F3" s="9"/>
      <c r="G3" s="9"/>
      <c r="H3" s="98"/>
      <c r="I3" s="9"/>
      <c r="J3" s="11"/>
      <c r="K3" s="9"/>
      <c r="L3" s="9"/>
      <c r="M3" s="12"/>
    </row>
    <row r="4" spans="1:13" x14ac:dyDescent="0.3">
      <c r="A4" s="8" t="s">
        <v>14</v>
      </c>
      <c r="B4" s="13"/>
      <c r="C4" s="13"/>
      <c r="D4" s="10"/>
      <c r="E4" s="9"/>
      <c r="F4" s="13"/>
      <c r="G4" s="9"/>
      <c r="H4" s="98"/>
      <c r="I4" s="9"/>
      <c r="J4" s="11"/>
      <c r="K4" s="9"/>
      <c r="L4" s="9"/>
      <c r="M4" s="12"/>
    </row>
    <row r="5" spans="1:13" x14ac:dyDescent="0.3">
      <c r="A5" s="8" t="s">
        <v>15</v>
      </c>
      <c r="B5" s="9">
        <v>24870</v>
      </c>
      <c r="C5" s="9">
        <v>92480</v>
      </c>
      <c r="D5" s="10"/>
      <c r="E5" s="9"/>
      <c r="F5" s="9">
        <v>104120</v>
      </c>
      <c r="G5" s="9"/>
      <c r="H5" s="98"/>
      <c r="I5" s="9"/>
      <c r="J5" s="11"/>
      <c r="K5" s="9"/>
      <c r="L5" s="9"/>
      <c r="M5" s="12"/>
    </row>
    <row r="6" spans="1:13" x14ac:dyDescent="0.3">
      <c r="A6" s="8" t="s">
        <v>16</v>
      </c>
      <c r="B6" s="9">
        <v>15000</v>
      </c>
      <c r="C6" s="9">
        <v>60000</v>
      </c>
      <c r="D6" s="10"/>
      <c r="E6" s="9"/>
      <c r="F6" s="9">
        <v>75000</v>
      </c>
      <c r="G6" s="9"/>
      <c r="H6" s="98"/>
      <c r="I6" s="9"/>
      <c r="J6" s="11"/>
      <c r="K6" s="9"/>
      <c r="L6" s="9"/>
      <c r="M6" s="12"/>
    </row>
    <row r="7" spans="1:13" x14ac:dyDescent="0.3">
      <c r="A7" s="14" t="s">
        <v>17</v>
      </c>
      <c r="B7" s="9">
        <v>10000</v>
      </c>
      <c r="C7" s="9">
        <v>40000</v>
      </c>
      <c r="D7" s="10"/>
      <c r="E7" s="9"/>
      <c r="F7" s="9"/>
      <c r="G7" s="9"/>
      <c r="H7" s="98"/>
      <c r="I7" s="9"/>
      <c r="J7" s="11"/>
      <c r="K7" s="9">
        <v>50000</v>
      </c>
      <c r="L7" s="9"/>
      <c r="M7" s="12"/>
    </row>
    <row r="8" spans="1:13" x14ac:dyDescent="0.3">
      <c r="A8" s="14" t="s">
        <v>18</v>
      </c>
      <c r="B8" s="9">
        <v>600</v>
      </c>
      <c r="C8" s="9">
        <v>2400</v>
      </c>
      <c r="D8" s="10"/>
      <c r="E8" s="9"/>
      <c r="F8" s="9">
        <v>3000</v>
      </c>
      <c r="G8" s="9"/>
      <c r="H8" s="98"/>
      <c r="I8" s="9"/>
      <c r="J8" s="11"/>
      <c r="K8" s="9"/>
      <c r="L8" s="9"/>
      <c r="M8" s="12"/>
    </row>
    <row r="9" spans="1:13" x14ac:dyDescent="0.3">
      <c r="A9" s="14" t="s">
        <v>19</v>
      </c>
      <c r="B9" s="9">
        <v>500</v>
      </c>
      <c r="C9" s="9">
        <v>20000</v>
      </c>
      <c r="D9" s="10"/>
      <c r="E9" s="9"/>
      <c r="F9" s="9">
        <v>25000</v>
      </c>
      <c r="G9" s="9"/>
      <c r="H9" s="98"/>
      <c r="I9" s="9"/>
      <c r="J9" s="11"/>
      <c r="K9" s="9"/>
      <c r="L9" s="9"/>
      <c r="M9" s="12"/>
    </row>
    <row r="10" spans="1:13" x14ac:dyDescent="0.3">
      <c r="A10" s="14" t="s">
        <v>20</v>
      </c>
      <c r="B10" s="9">
        <v>10000</v>
      </c>
      <c r="C10" s="9">
        <v>40000</v>
      </c>
      <c r="D10" s="10"/>
      <c r="E10" s="9"/>
      <c r="F10" s="9">
        <v>50000</v>
      </c>
      <c r="G10" s="9"/>
      <c r="H10" s="98"/>
      <c r="I10" s="9"/>
      <c r="J10" s="11"/>
      <c r="K10" s="9"/>
      <c r="L10" s="9"/>
      <c r="M10" s="12"/>
    </row>
    <row r="11" spans="1:13" x14ac:dyDescent="0.3">
      <c r="A11" s="14" t="s">
        <v>21</v>
      </c>
      <c r="B11" s="9">
        <v>60000</v>
      </c>
      <c r="C11" s="9">
        <v>240000</v>
      </c>
      <c r="D11" s="10"/>
      <c r="E11" s="9"/>
      <c r="F11" s="9">
        <v>300000</v>
      </c>
      <c r="G11" s="9"/>
      <c r="H11" s="98"/>
      <c r="I11" s="9"/>
      <c r="J11" s="11"/>
      <c r="K11" s="9"/>
      <c r="L11" s="9"/>
      <c r="M11" s="12">
        <v>24</v>
      </c>
    </row>
    <row r="12" spans="1:13" x14ac:dyDescent="0.3">
      <c r="A12" s="14" t="s">
        <v>22</v>
      </c>
      <c r="B12" s="9">
        <v>0</v>
      </c>
      <c r="C12" s="9">
        <v>31000</v>
      </c>
      <c r="D12" s="10"/>
      <c r="E12" s="9"/>
      <c r="F12" s="9"/>
      <c r="G12" s="9"/>
      <c r="H12" s="98">
        <v>31000</v>
      </c>
      <c r="I12" s="9"/>
      <c r="J12" s="11"/>
      <c r="K12" s="9"/>
      <c r="L12" s="9"/>
      <c r="M12" s="12"/>
    </row>
    <row r="13" spans="1:13" x14ac:dyDescent="0.3">
      <c r="A13" s="14" t="s">
        <v>23</v>
      </c>
      <c r="B13" s="9">
        <v>20000</v>
      </c>
      <c r="C13" s="9">
        <v>80000</v>
      </c>
      <c r="D13" s="10"/>
      <c r="E13" s="9"/>
      <c r="F13" s="9"/>
      <c r="G13" s="9"/>
      <c r="H13" s="98">
        <v>100000</v>
      </c>
      <c r="I13" s="9"/>
      <c r="J13" s="11"/>
      <c r="K13" s="9"/>
      <c r="L13" s="9"/>
      <c r="M13" s="12"/>
    </row>
    <row r="14" spans="1:13" x14ac:dyDescent="0.3">
      <c r="A14" s="14" t="s">
        <v>24</v>
      </c>
      <c r="B14" s="9">
        <v>0</v>
      </c>
      <c r="C14" s="9">
        <v>23708</v>
      </c>
      <c r="D14" s="10"/>
      <c r="E14" s="9"/>
      <c r="F14" s="9"/>
      <c r="G14" s="9"/>
      <c r="H14" s="98"/>
      <c r="I14" s="9"/>
      <c r="J14" s="11"/>
      <c r="K14" s="9">
        <v>23798</v>
      </c>
      <c r="L14" s="9"/>
      <c r="M14" s="12"/>
    </row>
    <row r="15" spans="1:13" x14ac:dyDescent="0.3">
      <c r="A15" s="14" t="s">
        <v>25</v>
      </c>
      <c r="B15" s="9">
        <v>9846</v>
      </c>
      <c r="C15" s="9">
        <v>16765</v>
      </c>
      <c r="D15" s="10"/>
      <c r="E15" s="9"/>
      <c r="F15" s="9">
        <v>26611</v>
      </c>
      <c r="G15" s="9"/>
      <c r="H15" s="98"/>
      <c r="I15" s="9"/>
      <c r="J15" s="11"/>
      <c r="K15" s="9"/>
      <c r="L15" s="9"/>
      <c r="M15" s="12"/>
    </row>
    <row r="16" spans="1:13" x14ac:dyDescent="0.3">
      <c r="A16" s="14" t="s">
        <v>26</v>
      </c>
      <c r="B16" s="9">
        <v>1920</v>
      </c>
      <c r="C16" s="9">
        <v>7680</v>
      </c>
      <c r="D16" s="10"/>
      <c r="E16" s="9"/>
      <c r="F16" s="9">
        <v>9600</v>
      </c>
      <c r="G16" s="9"/>
      <c r="H16" s="98"/>
      <c r="I16" s="9"/>
      <c r="J16" s="11"/>
      <c r="K16" s="9"/>
      <c r="L16" s="9"/>
      <c r="M16" s="12"/>
    </row>
    <row r="17" spans="1:13" x14ac:dyDescent="0.3">
      <c r="A17" s="14" t="s">
        <v>27</v>
      </c>
      <c r="B17" s="9"/>
      <c r="C17" s="9">
        <v>113571</v>
      </c>
      <c r="D17" s="10"/>
      <c r="E17" s="9"/>
      <c r="F17" s="9"/>
      <c r="G17" s="9"/>
      <c r="H17" s="98"/>
      <c r="I17" s="9"/>
      <c r="J17" s="11"/>
      <c r="K17" s="9"/>
      <c r="L17" s="9">
        <v>113571</v>
      </c>
      <c r="M17" s="12"/>
    </row>
    <row r="18" spans="1:13" x14ac:dyDescent="0.3">
      <c r="A18" s="15" t="s">
        <v>28</v>
      </c>
      <c r="B18" s="9">
        <v>98750</v>
      </c>
      <c r="C18" s="9">
        <v>1876250</v>
      </c>
      <c r="D18" s="10"/>
      <c r="E18" s="9"/>
      <c r="F18" s="9"/>
      <c r="G18" s="9"/>
      <c r="H18" s="98"/>
      <c r="I18" s="9"/>
      <c r="J18" s="11"/>
      <c r="K18" s="9">
        <v>1975000</v>
      </c>
      <c r="L18" s="9"/>
      <c r="M18" s="12"/>
    </row>
    <row r="19" spans="1:13" x14ac:dyDescent="0.3">
      <c r="A19" s="16" t="s">
        <v>29</v>
      </c>
      <c r="B19" s="17"/>
      <c r="C19" s="17">
        <v>280000</v>
      </c>
      <c r="D19" s="10"/>
      <c r="E19" s="17"/>
      <c r="F19" s="17"/>
      <c r="G19" s="17"/>
      <c r="H19" s="99"/>
      <c r="I19" s="17"/>
      <c r="J19" s="18"/>
      <c r="K19" s="17"/>
      <c r="L19" s="17">
        <v>280000</v>
      </c>
      <c r="M19" s="19"/>
    </row>
    <row r="20" spans="1:13" x14ac:dyDescent="0.3">
      <c r="A20" s="14" t="s">
        <v>30</v>
      </c>
      <c r="B20" s="9">
        <v>356.58</v>
      </c>
      <c r="C20" s="9">
        <v>11529</v>
      </c>
      <c r="D20" s="10"/>
      <c r="E20" s="9"/>
      <c r="F20" s="9"/>
      <c r="G20" s="9"/>
      <c r="H20" s="98"/>
      <c r="I20" s="9"/>
      <c r="J20" s="11"/>
      <c r="K20" s="9">
        <v>11866</v>
      </c>
      <c r="L20" s="9"/>
      <c r="M20" s="9"/>
    </row>
    <row r="21" spans="1:13" ht="15" thickBot="1" x14ac:dyDescent="0.35">
      <c r="A21" s="20" t="s">
        <v>31</v>
      </c>
      <c r="B21" s="21">
        <f>SUM(B3:B20)</f>
        <v>319842.58</v>
      </c>
      <c r="C21" s="21">
        <f>SUM(C3:C20)</f>
        <v>3197383</v>
      </c>
      <c r="D21" s="22"/>
      <c r="E21" s="21">
        <f>SUM(E3:E20)</f>
        <v>342500</v>
      </c>
      <c r="F21" s="21">
        <f>SUM(F3:F20)</f>
        <v>593331</v>
      </c>
      <c r="G21" s="21"/>
      <c r="H21" s="100">
        <f>SUM(H3:H20)</f>
        <v>131000</v>
      </c>
      <c r="I21" s="21"/>
      <c r="J21" s="21"/>
      <c r="K21" s="21">
        <f>SUM(K3:K20)</f>
        <v>2060664</v>
      </c>
      <c r="L21" s="21">
        <f>SUM(L3:L20)</f>
        <v>393571</v>
      </c>
      <c r="M21" s="122">
        <f>SUM(M3:M20)</f>
        <v>24</v>
      </c>
    </row>
    <row r="22" spans="1:13" ht="15" thickTop="1" x14ac:dyDescent="0.3">
      <c r="A22" s="23"/>
      <c r="B22" s="24" t="s">
        <v>32</v>
      </c>
      <c r="C22" s="24"/>
      <c r="D22" s="25"/>
      <c r="E22" s="24"/>
      <c r="F22" s="24"/>
      <c r="G22" s="24"/>
      <c r="H22" s="120"/>
      <c r="I22" s="24"/>
      <c r="J22" s="26"/>
      <c r="K22" s="24"/>
      <c r="L22" s="24"/>
      <c r="M22" s="27">
        <v>48</v>
      </c>
    </row>
    <row r="23" spans="1:13" x14ac:dyDescent="0.3">
      <c r="A23" s="28" t="s">
        <v>33</v>
      </c>
      <c r="B23" s="9">
        <f>SUM(B21:C21)</f>
        <v>3517225.58</v>
      </c>
      <c r="C23" s="9"/>
      <c r="D23" s="25"/>
      <c r="E23" s="9"/>
      <c r="F23" s="9"/>
      <c r="G23" s="9"/>
      <c r="H23" s="98"/>
      <c r="I23" s="9"/>
      <c r="J23" s="11"/>
      <c r="K23" s="9"/>
      <c r="L23" s="9"/>
      <c r="M23" s="29"/>
    </row>
    <row r="24" spans="1:13" x14ac:dyDescent="0.3">
      <c r="A24" s="28"/>
      <c r="B24" s="9"/>
      <c r="C24" s="9"/>
      <c r="D24" s="25"/>
      <c r="E24" s="9"/>
      <c r="F24" s="9"/>
      <c r="G24" s="9"/>
      <c r="H24" s="98"/>
      <c r="I24" s="9"/>
      <c r="J24" s="11"/>
      <c r="K24" s="9"/>
      <c r="L24" s="9"/>
      <c r="M24" s="29"/>
    </row>
  </sheetData>
  <pageMargins left="0.7" right="0.7" top="0.75" bottom="0.75" header="0.3" footer="0.3"/>
  <pageSetup scale="6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4"/>
  <sheetViews>
    <sheetView workbookViewId="0">
      <selection activeCell="M16" sqref="M3:M16"/>
    </sheetView>
  </sheetViews>
  <sheetFormatPr defaultRowHeight="14.4" x14ac:dyDescent="0.3"/>
  <cols>
    <col min="1" max="1" width="36.109375" customWidth="1"/>
    <col min="2" max="3" width="14.109375" customWidth="1"/>
    <col min="5" max="5" width="12.109375" customWidth="1"/>
    <col min="6" max="6" width="16.109375" customWidth="1"/>
    <col min="8" max="8" width="14.44140625" style="101" customWidth="1"/>
    <col min="12" max="12" width="13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109"/>
      <c r="I1" s="30"/>
      <c r="J1" s="30"/>
      <c r="K1" s="30"/>
      <c r="L1" s="30"/>
      <c r="M1" s="33"/>
    </row>
    <row r="2" spans="1:13" ht="27" x14ac:dyDescent="0.3">
      <c r="A2" s="34" t="s">
        <v>34</v>
      </c>
      <c r="B2" s="35" t="s">
        <v>3</v>
      </c>
      <c r="C2" s="35" t="s">
        <v>4</v>
      </c>
      <c r="D2" s="35"/>
      <c r="E2" s="35" t="s">
        <v>5</v>
      </c>
      <c r="F2" s="35" t="s">
        <v>6</v>
      </c>
      <c r="G2" s="35" t="s">
        <v>7</v>
      </c>
      <c r="H2" s="116" t="s">
        <v>307</v>
      </c>
      <c r="I2" s="35" t="s">
        <v>8</v>
      </c>
      <c r="J2" s="34" t="s">
        <v>9</v>
      </c>
      <c r="K2" s="35" t="s">
        <v>10</v>
      </c>
      <c r="L2" s="35" t="s">
        <v>11</v>
      </c>
      <c r="M2" s="36" t="s">
        <v>12</v>
      </c>
    </row>
    <row r="3" spans="1:13" x14ac:dyDescent="0.3">
      <c r="A3" s="37" t="s">
        <v>13</v>
      </c>
      <c r="B3" s="38">
        <v>70500</v>
      </c>
      <c r="C3" s="38">
        <v>272000</v>
      </c>
      <c r="D3" s="39"/>
      <c r="E3" s="38">
        <v>342500</v>
      </c>
      <c r="F3" s="38"/>
      <c r="G3" s="38"/>
      <c r="H3" s="117"/>
      <c r="I3" s="38"/>
      <c r="J3" s="40"/>
      <c r="K3" s="38"/>
      <c r="L3" s="38"/>
      <c r="M3" s="41"/>
    </row>
    <row r="4" spans="1:13" x14ac:dyDescent="0.3">
      <c r="A4" s="37" t="s">
        <v>14</v>
      </c>
      <c r="D4" s="39"/>
      <c r="E4" s="38"/>
      <c r="G4" s="38"/>
      <c r="H4" s="117"/>
      <c r="I4" s="38"/>
      <c r="J4" s="40"/>
      <c r="K4" s="38"/>
      <c r="L4" s="38"/>
      <c r="M4" s="41"/>
    </row>
    <row r="5" spans="1:13" x14ac:dyDescent="0.3">
      <c r="A5" s="37" t="s">
        <v>35</v>
      </c>
      <c r="B5" s="38">
        <v>22000</v>
      </c>
      <c r="C5" s="38">
        <v>82000</v>
      </c>
      <c r="D5" s="39"/>
      <c r="E5" s="38"/>
      <c r="F5" s="38">
        <v>104120</v>
      </c>
      <c r="G5" s="38"/>
      <c r="H5" s="117"/>
      <c r="I5" s="38"/>
      <c r="J5" s="40"/>
      <c r="K5" s="38"/>
      <c r="L5" s="38"/>
      <c r="M5" s="41"/>
    </row>
    <row r="6" spans="1:13" x14ac:dyDescent="0.3">
      <c r="A6" s="37" t="s">
        <v>16</v>
      </c>
      <c r="B6" s="38">
        <v>15000</v>
      </c>
      <c r="C6" s="38">
        <v>60000</v>
      </c>
      <c r="D6" s="39"/>
      <c r="E6" s="38"/>
      <c r="F6" s="38">
        <v>75000</v>
      </c>
      <c r="G6" s="38"/>
      <c r="H6" s="117"/>
      <c r="I6" s="38"/>
      <c r="J6" s="40"/>
      <c r="K6" s="38"/>
      <c r="L6" s="38"/>
      <c r="M6" s="41"/>
    </row>
    <row r="7" spans="1:13" x14ac:dyDescent="0.3">
      <c r="A7" s="37" t="s">
        <v>36</v>
      </c>
      <c r="B7" s="38">
        <v>13544</v>
      </c>
      <c r="C7" s="38">
        <v>54176</v>
      </c>
      <c r="D7" s="39"/>
      <c r="E7" s="38"/>
      <c r="F7" s="38"/>
      <c r="G7" s="38"/>
      <c r="H7" s="117">
        <v>27355</v>
      </c>
      <c r="I7" s="38">
        <v>40365</v>
      </c>
      <c r="J7" s="40"/>
      <c r="K7" s="38"/>
      <c r="L7" s="38"/>
      <c r="M7" s="41">
        <v>15</v>
      </c>
    </row>
    <row r="8" spans="1:13" x14ac:dyDescent="0.3">
      <c r="A8" s="37" t="s">
        <v>37</v>
      </c>
      <c r="B8" s="38">
        <v>300</v>
      </c>
      <c r="C8" s="38">
        <v>2700</v>
      </c>
      <c r="D8" s="39"/>
      <c r="E8" s="38"/>
      <c r="F8" s="38">
        <v>3000</v>
      </c>
      <c r="G8" s="38"/>
      <c r="H8" s="117"/>
      <c r="I8" s="38"/>
      <c r="J8" s="40"/>
      <c r="K8" s="38"/>
      <c r="L8" s="38"/>
      <c r="M8" s="41"/>
    </row>
    <row r="9" spans="1:13" x14ac:dyDescent="0.3">
      <c r="A9" s="37" t="s">
        <v>38</v>
      </c>
      <c r="B9" s="38">
        <v>1240</v>
      </c>
      <c r="C9" s="38">
        <v>4960</v>
      </c>
      <c r="D9" s="39"/>
      <c r="E9" s="38"/>
      <c r="F9" s="38">
        <v>6200</v>
      </c>
      <c r="G9" s="38"/>
      <c r="H9" s="117"/>
      <c r="I9" s="38"/>
      <c r="J9" s="40"/>
      <c r="K9" s="38"/>
      <c r="L9" s="38"/>
      <c r="M9" s="41"/>
    </row>
    <row r="10" spans="1:13" x14ac:dyDescent="0.3">
      <c r="A10" s="37" t="s">
        <v>39</v>
      </c>
      <c r="B10" s="38">
        <v>600</v>
      </c>
      <c r="C10" s="38">
        <v>2400</v>
      </c>
      <c r="D10" s="39"/>
      <c r="E10" s="38"/>
      <c r="F10" s="38">
        <v>3000</v>
      </c>
      <c r="G10" s="38"/>
      <c r="H10" s="117"/>
      <c r="I10" s="38"/>
      <c r="J10" s="40"/>
      <c r="K10" s="38"/>
      <c r="L10" s="38"/>
      <c r="M10" s="41"/>
    </row>
    <row r="11" spans="1:13" x14ac:dyDescent="0.3">
      <c r="A11" s="42" t="s">
        <v>40</v>
      </c>
      <c r="B11" s="38"/>
      <c r="C11" s="38"/>
      <c r="D11" s="39"/>
      <c r="E11" s="38"/>
      <c r="F11" s="38"/>
      <c r="G11" s="38"/>
      <c r="H11" s="117"/>
      <c r="I11" s="38"/>
      <c r="J11" s="40"/>
      <c r="K11" s="38"/>
      <c r="L11" s="38"/>
      <c r="M11" s="41"/>
    </row>
    <row r="12" spans="1:13" x14ac:dyDescent="0.3">
      <c r="A12" s="42" t="s">
        <v>41</v>
      </c>
      <c r="B12" s="38">
        <v>5406</v>
      </c>
      <c r="C12" s="38">
        <v>9206</v>
      </c>
      <c r="D12" s="39"/>
      <c r="E12" s="38"/>
      <c r="F12" s="38">
        <f>SUM(B12:C12)</f>
        <v>14612</v>
      </c>
      <c r="G12" s="38"/>
      <c r="H12" s="117"/>
      <c r="I12" s="38"/>
      <c r="J12" s="40"/>
      <c r="K12" s="38"/>
      <c r="L12" s="38"/>
      <c r="M12" s="41"/>
    </row>
    <row r="13" spans="1:13" x14ac:dyDescent="0.3">
      <c r="A13" s="42" t="s">
        <v>42</v>
      </c>
      <c r="B13" s="38">
        <v>4440</v>
      </c>
      <c r="C13" s="38">
        <v>7560</v>
      </c>
      <c r="D13" s="39"/>
      <c r="E13" s="38"/>
      <c r="F13" s="38">
        <v>12000</v>
      </c>
      <c r="G13" s="38"/>
      <c r="H13" s="117"/>
      <c r="I13" s="38"/>
      <c r="J13" s="40"/>
      <c r="K13" s="38"/>
      <c r="L13" s="38"/>
      <c r="M13" s="41"/>
    </row>
    <row r="14" spans="1:13" x14ac:dyDescent="0.3">
      <c r="A14" s="42" t="s">
        <v>43</v>
      </c>
      <c r="B14" s="38">
        <v>1400</v>
      </c>
      <c r="C14" s="38">
        <v>5600</v>
      </c>
      <c r="D14" s="39"/>
      <c r="E14" s="38"/>
      <c r="F14" s="38">
        <v>7000</v>
      </c>
      <c r="G14" s="38"/>
      <c r="H14" s="117"/>
      <c r="I14" s="38"/>
      <c r="J14" s="40"/>
      <c r="K14" s="38"/>
      <c r="L14" s="38"/>
      <c r="M14" s="41"/>
    </row>
    <row r="15" spans="1:13" x14ac:dyDescent="0.3">
      <c r="A15" s="43" t="s">
        <v>29</v>
      </c>
      <c r="B15" s="38"/>
      <c r="C15" s="38">
        <v>279996</v>
      </c>
      <c r="D15" s="39"/>
      <c r="E15" s="38"/>
      <c r="F15" s="38"/>
      <c r="G15" s="38"/>
      <c r="H15" s="117"/>
      <c r="I15" s="38"/>
      <c r="J15" s="40"/>
      <c r="K15" s="38"/>
      <c r="L15" s="38">
        <v>279996</v>
      </c>
      <c r="M15" s="41"/>
    </row>
    <row r="16" spans="1:13" ht="15" thickBot="1" x14ac:dyDescent="0.35">
      <c r="A16" s="44" t="s">
        <v>31</v>
      </c>
      <c r="B16" s="45">
        <f>SUM(B3:B15)</f>
        <v>134430</v>
      </c>
      <c r="C16" s="45">
        <f>SUM(C3:C15)</f>
        <v>780598</v>
      </c>
      <c r="D16" s="46"/>
      <c r="E16" s="45">
        <f>SUM(E3:E15)</f>
        <v>342500</v>
      </c>
      <c r="F16" s="45">
        <f>SUM(F3:F15)</f>
        <v>224932</v>
      </c>
      <c r="G16" s="45"/>
      <c r="H16" s="118">
        <f>SUM(H3:H15)</f>
        <v>27355</v>
      </c>
      <c r="I16" s="45">
        <f>SUM(I3:I15)</f>
        <v>40365</v>
      </c>
      <c r="J16" s="45"/>
      <c r="K16" s="45"/>
      <c r="L16" s="45">
        <f>SUM(L3:L15)</f>
        <v>279996</v>
      </c>
      <c r="M16" s="47">
        <f>SUM(M3:M15)</f>
        <v>15</v>
      </c>
    </row>
    <row r="17" spans="1:13" ht="15" thickTop="1" x14ac:dyDescent="0.3">
      <c r="A17" s="48"/>
      <c r="B17" s="49" t="s">
        <v>32</v>
      </c>
      <c r="C17" s="49"/>
      <c r="D17" s="50"/>
      <c r="E17" s="49"/>
      <c r="F17" s="49"/>
      <c r="G17" s="49"/>
      <c r="H17" s="119"/>
      <c r="I17" s="49"/>
      <c r="J17" s="51"/>
      <c r="K17" s="49"/>
      <c r="L17" s="49"/>
      <c r="M17" s="52"/>
    </row>
    <row r="18" spans="1:13" x14ac:dyDescent="0.3">
      <c r="A18" s="42" t="s">
        <v>33</v>
      </c>
      <c r="B18" s="38">
        <f>SUM(B16:C16)</f>
        <v>915028</v>
      </c>
      <c r="C18" s="38"/>
      <c r="D18" s="50"/>
      <c r="E18" s="38"/>
      <c r="F18" s="38"/>
      <c r="G18" s="38"/>
      <c r="H18" s="117"/>
      <c r="I18" s="38"/>
      <c r="J18" s="40"/>
      <c r="K18" s="38"/>
      <c r="L18" s="38"/>
      <c r="M18" s="53"/>
    </row>
    <row r="19" spans="1:13" x14ac:dyDescent="0.3">
      <c r="A19" s="42" t="s">
        <v>44</v>
      </c>
      <c r="L19" s="54"/>
    </row>
    <row r="20" spans="1:13" x14ac:dyDescent="0.3">
      <c r="A20" s="42" t="s">
        <v>45</v>
      </c>
      <c r="L20" s="54"/>
    </row>
    <row r="21" spans="1:13" x14ac:dyDescent="0.3">
      <c r="A21" s="42" t="s">
        <v>46</v>
      </c>
    </row>
    <row r="22" spans="1:13" x14ac:dyDescent="0.3">
      <c r="A22" s="42" t="s">
        <v>47</v>
      </c>
      <c r="L22" s="54"/>
    </row>
    <row r="23" spans="1:13" x14ac:dyDescent="0.3">
      <c r="A23" s="42" t="s">
        <v>48</v>
      </c>
    </row>
    <row r="24" spans="1:13" x14ac:dyDescent="0.3">
      <c r="L24" s="55"/>
    </row>
  </sheetData>
  <pageMargins left="0.7" right="0.7" top="0.75" bottom="0.75" header="0.3" footer="0.3"/>
  <pageSetup scale="63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7"/>
  <sheetViews>
    <sheetView workbookViewId="0">
      <selection activeCell="A3" sqref="A3"/>
    </sheetView>
  </sheetViews>
  <sheetFormatPr defaultRowHeight="14.4" x14ac:dyDescent="0.3"/>
  <cols>
    <col min="1" max="1" width="35.109375" customWidth="1"/>
    <col min="2" max="3" width="15" customWidth="1"/>
    <col min="5" max="5" width="12.88671875" customWidth="1"/>
    <col min="6" max="6" width="14.33203125" customWidth="1"/>
    <col min="8" max="8" width="17.44140625" customWidth="1"/>
    <col min="12" max="12" width="12.10937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49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7" t="s">
        <v>307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s="37" t="s">
        <v>13</v>
      </c>
      <c r="B3" s="58">
        <v>68000</v>
      </c>
      <c r="C3" s="58">
        <v>262000</v>
      </c>
      <c r="D3" s="39"/>
      <c r="E3" s="58">
        <v>330000</v>
      </c>
      <c r="F3" s="58"/>
      <c r="G3" s="58"/>
      <c r="H3" s="58"/>
      <c r="I3" s="58"/>
      <c r="J3" s="40"/>
      <c r="K3" s="58"/>
      <c r="L3" s="58"/>
      <c r="M3" s="41"/>
    </row>
    <row r="4" spans="1:13" x14ac:dyDescent="0.3">
      <c r="A4" s="37" t="s">
        <v>14</v>
      </c>
      <c r="D4" s="39"/>
      <c r="E4" s="58"/>
      <c r="G4" s="58"/>
      <c r="H4" s="58"/>
      <c r="I4" s="58"/>
      <c r="J4" s="40"/>
      <c r="K4" s="58"/>
      <c r="L4" s="58"/>
      <c r="M4" s="41"/>
    </row>
    <row r="5" spans="1:13" x14ac:dyDescent="0.3">
      <c r="A5" s="37" t="s">
        <v>50</v>
      </c>
      <c r="B5" s="58">
        <v>20080</v>
      </c>
      <c r="C5" s="58">
        <v>86200</v>
      </c>
      <c r="D5" s="39"/>
      <c r="E5" s="58"/>
      <c r="F5" s="58">
        <v>106280</v>
      </c>
      <c r="G5" s="58"/>
      <c r="H5" s="58"/>
      <c r="I5" s="58"/>
      <c r="J5" s="40"/>
      <c r="K5" s="58"/>
      <c r="L5" s="58"/>
      <c r="M5" s="41"/>
    </row>
    <row r="6" spans="1:13" x14ac:dyDescent="0.3">
      <c r="A6" s="37" t="s">
        <v>16</v>
      </c>
      <c r="B6" s="58">
        <v>15000</v>
      </c>
      <c r="C6" s="58">
        <v>60000</v>
      </c>
      <c r="D6" s="39"/>
      <c r="E6" s="58"/>
      <c r="F6" s="58">
        <v>75000</v>
      </c>
      <c r="G6" s="58"/>
      <c r="H6" s="58"/>
      <c r="I6" s="58"/>
      <c r="J6" s="40"/>
      <c r="K6" s="58"/>
      <c r="L6" s="58"/>
      <c r="M6" s="41"/>
    </row>
    <row r="7" spans="1:13" x14ac:dyDescent="0.3">
      <c r="A7" s="37" t="s">
        <v>51</v>
      </c>
      <c r="B7" s="58"/>
      <c r="C7" s="58">
        <v>150000</v>
      </c>
      <c r="D7" s="39"/>
      <c r="E7" s="58"/>
      <c r="F7" s="58"/>
      <c r="G7" s="58"/>
      <c r="H7" s="58"/>
      <c r="I7" s="58"/>
      <c r="J7" s="40"/>
      <c r="K7" s="58"/>
      <c r="L7" s="58">
        <v>150000</v>
      </c>
      <c r="M7" s="41"/>
    </row>
    <row r="8" spans="1:13" x14ac:dyDescent="0.3">
      <c r="A8" s="37" t="s">
        <v>52</v>
      </c>
      <c r="B8" s="58">
        <v>92500</v>
      </c>
      <c r="C8" s="58">
        <v>92500</v>
      </c>
      <c r="D8" s="39"/>
      <c r="E8" s="58"/>
      <c r="F8" s="58"/>
      <c r="G8" s="58"/>
      <c r="H8" s="58">
        <v>125000</v>
      </c>
      <c r="I8" s="58">
        <v>60000</v>
      </c>
      <c r="J8" s="40"/>
      <c r="K8" s="58"/>
      <c r="L8" s="58"/>
      <c r="M8" s="41">
        <v>18</v>
      </c>
    </row>
    <row r="9" spans="1:13" x14ac:dyDescent="0.3">
      <c r="A9" s="37" t="s">
        <v>53</v>
      </c>
      <c r="B9" s="58">
        <v>2431</v>
      </c>
      <c r="C9" s="58">
        <v>9723</v>
      </c>
      <c r="D9" s="39"/>
      <c r="E9" s="58"/>
      <c r="F9" s="58">
        <v>12134</v>
      </c>
      <c r="G9" s="58"/>
      <c r="H9" s="58"/>
      <c r="I9" s="58"/>
      <c r="J9" s="40"/>
      <c r="K9" s="58"/>
      <c r="L9" s="58"/>
      <c r="M9" s="41"/>
    </row>
    <row r="10" spans="1:13" x14ac:dyDescent="0.3">
      <c r="A10" s="42" t="s">
        <v>54</v>
      </c>
      <c r="B10" s="58">
        <v>1419</v>
      </c>
      <c r="C10" s="58">
        <v>5674</v>
      </c>
      <c r="D10" s="39"/>
      <c r="E10" s="58"/>
      <c r="F10" s="58">
        <v>7092</v>
      </c>
      <c r="G10" s="58"/>
      <c r="H10" s="58"/>
      <c r="I10" s="58"/>
      <c r="J10" s="40"/>
      <c r="K10" s="58"/>
      <c r="L10" s="58"/>
      <c r="M10" s="59">
        <v>5</v>
      </c>
    </row>
    <row r="11" spans="1:13" x14ac:dyDescent="0.3">
      <c r="A11" s="37" t="s">
        <v>55</v>
      </c>
      <c r="B11" s="58">
        <v>2400</v>
      </c>
      <c r="C11" s="58">
        <v>21600</v>
      </c>
      <c r="D11" s="39"/>
      <c r="E11" s="58"/>
      <c r="F11" s="58">
        <v>24000</v>
      </c>
      <c r="G11" s="58"/>
      <c r="H11" s="58"/>
      <c r="I11" s="58"/>
      <c r="J11" s="40"/>
      <c r="K11" s="58"/>
      <c r="L11" s="58"/>
      <c r="M11" s="59"/>
    </row>
    <row r="12" spans="1:13" x14ac:dyDescent="0.3">
      <c r="A12" s="37" t="s">
        <v>56</v>
      </c>
      <c r="B12" s="58">
        <v>5000</v>
      </c>
      <c r="C12" s="58">
        <v>20000</v>
      </c>
      <c r="D12" s="39"/>
      <c r="E12" s="58"/>
      <c r="F12" s="58">
        <v>25000</v>
      </c>
      <c r="G12" s="58"/>
      <c r="H12" s="58"/>
      <c r="I12" s="58"/>
      <c r="J12" s="40"/>
      <c r="K12" s="58"/>
      <c r="L12" s="58"/>
      <c r="M12" s="41"/>
    </row>
    <row r="13" spans="1:13" x14ac:dyDescent="0.3">
      <c r="A13" s="42" t="s">
        <v>40</v>
      </c>
      <c r="B13" s="58"/>
      <c r="C13" s="58"/>
      <c r="D13" s="39"/>
      <c r="E13" s="58"/>
      <c r="F13" s="58"/>
      <c r="G13" s="58"/>
      <c r="H13" s="58"/>
      <c r="I13" s="58"/>
      <c r="J13" s="40"/>
      <c r="K13" s="58"/>
      <c r="L13" s="58"/>
      <c r="M13" s="41"/>
    </row>
    <row r="14" spans="1:13" x14ac:dyDescent="0.3">
      <c r="A14" s="42" t="s">
        <v>41</v>
      </c>
      <c r="B14" s="58">
        <v>5406</v>
      </c>
      <c r="C14" s="58">
        <v>9206</v>
      </c>
      <c r="D14" s="39"/>
      <c r="E14" s="58"/>
      <c r="F14" s="58">
        <f>SUM(B14:C14)</f>
        <v>14612</v>
      </c>
      <c r="G14" s="58"/>
      <c r="H14" s="58"/>
      <c r="I14" s="58"/>
      <c r="J14" s="40"/>
      <c r="K14" s="58"/>
      <c r="L14" s="58"/>
      <c r="M14" s="41"/>
    </row>
    <row r="15" spans="1:13" x14ac:dyDescent="0.3">
      <c r="A15" s="42" t="s">
        <v>42</v>
      </c>
      <c r="B15" s="58">
        <v>4440</v>
      </c>
      <c r="C15" s="58">
        <v>7560</v>
      </c>
      <c r="D15" s="39"/>
      <c r="E15" s="58"/>
      <c r="F15" s="58">
        <v>12000</v>
      </c>
      <c r="G15" s="58"/>
      <c r="H15" s="58"/>
      <c r="I15" s="58"/>
      <c r="J15" s="40"/>
      <c r="K15" s="58"/>
      <c r="L15" s="58"/>
      <c r="M15" s="41"/>
    </row>
    <row r="16" spans="1:13" x14ac:dyDescent="0.3">
      <c r="A16" s="42" t="s">
        <v>57</v>
      </c>
      <c r="B16" s="58"/>
      <c r="C16" s="58">
        <v>15500</v>
      </c>
      <c r="D16" s="39"/>
      <c r="E16" s="58"/>
      <c r="F16" s="58">
        <v>15500</v>
      </c>
      <c r="G16" s="58"/>
      <c r="H16" s="58"/>
      <c r="I16" s="58"/>
      <c r="J16" s="40"/>
      <c r="K16" s="58"/>
      <c r="L16" s="58"/>
      <c r="M16" s="41"/>
    </row>
    <row r="17" spans="1:13" x14ac:dyDescent="0.3">
      <c r="A17" s="43" t="s">
        <v>29</v>
      </c>
      <c r="B17" s="58"/>
      <c r="C17" s="58">
        <v>279996</v>
      </c>
      <c r="D17" s="39"/>
      <c r="E17" s="58"/>
      <c r="F17" s="58"/>
      <c r="G17" s="58"/>
      <c r="H17" s="58"/>
      <c r="I17" s="58"/>
      <c r="J17" s="40"/>
      <c r="K17" s="58"/>
      <c r="L17" s="58">
        <v>279996</v>
      </c>
      <c r="M17" s="41"/>
    </row>
    <row r="18" spans="1:13" ht="15" thickBot="1" x14ac:dyDescent="0.35">
      <c r="A18" s="44" t="s">
        <v>31</v>
      </c>
      <c r="B18" s="60">
        <f>SUM(B3:B17)</f>
        <v>216676</v>
      </c>
      <c r="C18" s="60">
        <f>SUM(C3:C17)</f>
        <v>1019959</v>
      </c>
      <c r="D18" s="46"/>
      <c r="E18" s="60">
        <f>SUM(E3:E17)</f>
        <v>330000</v>
      </c>
      <c r="F18" s="60">
        <f>SUM(F3:F17)</f>
        <v>291618</v>
      </c>
      <c r="G18" s="60"/>
      <c r="H18" s="60">
        <f>SUM(H3:H17)</f>
        <v>125000</v>
      </c>
      <c r="I18" s="60">
        <f>SUM(I3:I17)</f>
        <v>60000</v>
      </c>
      <c r="J18" s="60"/>
      <c r="K18" s="60"/>
      <c r="L18" s="60">
        <f>SUM(L3:L17)</f>
        <v>429996</v>
      </c>
      <c r="M18" s="61">
        <f>SUM(M3:M17)</f>
        <v>23</v>
      </c>
    </row>
    <row r="19" spans="1:13" ht="15" thickTop="1" x14ac:dyDescent="0.3">
      <c r="A19" s="48"/>
      <c r="B19" s="62" t="s">
        <v>32</v>
      </c>
      <c r="C19" s="62"/>
      <c r="D19" s="50"/>
      <c r="E19" s="62"/>
      <c r="F19" s="62"/>
      <c r="G19" s="62"/>
      <c r="H19" s="62"/>
      <c r="I19" s="62"/>
      <c r="J19" s="51"/>
      <c r="K19" s="62"/>
      <c r="L19" s="62"/>
      <c r="M19" s="52"/>
    </row>
    <row r="20" spans="1:13" x14ac:dyDescent="0.3">
      <c r="A20" s="42" t="s">
        <v>33</v>
      </c>
      <c r="B20" s="58">
        <f>SUM(B18:C18)</f>
        <v>1236635</v>
      </c>
      <c r="C20" s="58"/>
      <c r="D20" s="50"/>
      <c r="E20" s="58"/>
      <c r="F20" s="58"/>
      <c r="G20" s="58"/>
      <c r="H20" s="58"/>
      <c r="I20" s="58"/>
      <c r="J20" s="40"/>
      <c r="K20" s="58"/>
      <c r="L20" s="58"/>
      <c r="M20" s="53"/>
    </row>
    <row r="21" spans="1:13" x14ac:dyDescent="0.3">
      <c r="A21" s="42" t="s">
        <v>58</v>
      </c>
      <c r="L21" s="54"/>
    </row>
    <row r="22" spans="1:13" x14ac:dyDescent="0.3">
      <c r="A22" s="42" t="s">
        <v>59</v>
      </c>
      <c r="L22" s="54"/>
    </row>
    <row r="23" spans="1:13" x14ac:dyDescent="0.3">
      <c r="A23" s="42" t="s">
        <v>60</v>
      </c>
    </row>
    <row r="24" spans="1:13" x14ac:dyDescent="0.3">
      <c r="A24" s="42" t="s">
        <v>61</v>
      </c>
      <c r="L24" s="54"/>
    </row>
    <row r="25" spans="1:13" x14ac:dyDescent="0.3">
      <c r="A25" s="42" t="s">
        <v>62</v>
      </c>
    </row>
    <row r="26" spans="1:13" x14ac:dyDescent="0.3">
      <c r="L26" s="55"/>
    </row>
    <row r="27" spans="1:13" x14ac:dyDescent="0.3">
      <c r="G27" s="63"/>
      <c r="H27" s="63"/>
      <c r="I27" s="63"/>
      <c r="J27" s="63"/>
      <c r="K27" s="63"/>
    </row>
  </sheetData>
  <pageMargins left="0.7" right="0.7" top="0.75" bottom="0.75" header="0.3" footer="0.3"/>
  <pageSetup scale="62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0"/>
  <sheetViews>
    <sheetView workbookViewId="0">
      <selection activeCell="B25" sqref="B3:B25"/>
    </sheetView>
  </sheetViews>
  <sheetFormatPr defaultRowHeight="14.4" x14ac:dyDescent="0.3"/>
  <cols>
    <col min="1" max="1" width="42.88671875" customWidth="1"/>
    <col min="2" max="2" width="14.88671875" customWidth="1"/>
    <col min="3" max="3" width="13.109375" customWidth="1"/>
    <col min="5" max="5" width="13.109375" customWidth="1"/>
    <col min="6" max="6" width="12.5546875" customWidth="1"/>
    <col min="7" max="7" width="13.5546875" customWidth="1"/>
    <col min="8" max="8" width="19.33203125" customWidth="1"/>
    <col min="10" max="10" width="12.33203125" customWidth="1"/>
    <col min="12" max="12" width="11.664062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63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7" t="s">
        <v>308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s="37" t="s">
        <v>13</v>
      </c>
      <c r="B3" s="58">
        <v>60000</v>
      </c>
      <c r="C3" s="58">
        <v>230000</v>
      </c>
      <c r="D3" s="39"/>
      <c r="E3" s="58">
        <v>290000</v>
      </c>
      <c r="F3" s="58"/>
      <c r="G3" s="58"/>
      <c r="H3" s="58"/>
      <c r="I3" s="58"/>
      <c r="J3" s="40"/>
      <c r="K3" s="58"/>
      <c r="L3" s="58"/>
      <c r="M3" s="41"/>
    </row>
    <row r="4" spans="1:13" x14ac:dyDescent="0.3">
      <c r="A4" s="37" t="s">
        <v>14</v>
      </c>
      <c r="D4" s="39"/>
      <c r="E4" s="58"/>
      <c r="G4" s="58"/>
      <c r="H4" s="58"/>
      <c r="I4" s="58"/>
      <c r="J4" s="40"/>
      <c r="K4" s="58"/>
      <c r="L4" s="58"/>
      <c r="M4" s="41"/>
    </row>
    <row r="5" spans="1:13" x14ac:dyDescent="0.3">
      <c r="A5" s="37" t="s">
        <v>64</v>
      </c>
      <c r="B5" s="58">
        <v>21040</v>
      </c>
      <c r="C5" s="58">
        <v>80000</v>
      </c>
      <c r="D5" s="39"/>
      <c r="E5" s="58"/>
      <c r="F5" s="58">
        <v>101040</v>
      </c>
      <c r="G5" s="58"/>
      <c r="H5" s="58"/>
      <c r="I5" s="58"/>
      <c r="J5" s="40"/>
      <c r="K5" s="58"/>
      <c r="L5" s="58"/>
      <c r="M5" s="41"/>
    </row>
    <row r="6" spans="1:13" x14ac:dyDescent="0.3">
      <c r="A6" s="37" t="s">
        <v>16</v>
      </c>
      <c r="B6" s="58">
        <v>15000</v>
      </c>
      <c r="C6" s="58">
        <v>60000</v>
      </c>
      <c r="D6" s="39"/>
      <c r="E6" s="58"/>
      <c r="F6" s="58">
        <v>75000</v>
      </c>
      <c r="G6" s="58"/>
      <c r="H6" s="58"/>
      <c r="I6" s="58"/>
      <c r="J6" s="40"/>
      <c r="K6" s="58"/>
      <c r="L6" s="58"/>
      <c r="M6" s="41"/>
    </row>
    <row r="7" spans="1:13" x14ac:dyDescent="0.3">
      <c r="A7" s="37" t="s">
        <v>65</v>
      </c>
      <c r="B7" s="64"/>
      <c r="C7" s="58">
        <v>27500</v>
      </c>
      <c r="D7" s="39"/>
      <c r="E7" s="58"/>
      <c r="F7" s="58"/>
      <c r="G7" s="58"/>
      <c r="H7" s="58"/>
      <c r="I7" s="58"/>
      <c r="J7" s="40"/>
      <c r="K7" s="58">
        <v>27500</v>
      </c>
      <c r="L7" s="58"/>
      <c r="M7" s="41"/>
    </row>
    <row r="8" spans="1:13" x14ac:dyDescent="0.3">
      <c r="A8" s="42" t="s">
        <v>66</v>
      </c>
      <c r="B8" s="64"/>
      <c r="C8" s="58">
        <v>30000</v>
      </c>
      <c r="D8" s="39"/>
      <c r="E8" s="58"/>
      <c r="F8" s="58">
        <v>30000</v>
      </c>
      <c r="G8" s="58"/>
      <c r="H8" s="58"/>
      <c r="I8" s="58"/>
      <c r="J8" s="40"/>
      <c r="K8" s="58"/>
      <c r="L8" s="58"/>
      <c r="M8" s="59"/>
    </row>
    <row r="9" spans="1:13" x14ac:dyDescent="0.3">
      <c r="A9" s="42" t="s">
        <v>67</v>
      </c>
      <c r="B9" s="65">
        <v>9237</v>
      </c>
      <c r="C9" s="58">
        <v>9236.7999999999993</v>
      </c>
      <c r="D9" s="39"/>
      <c r="E9" s="58"/>
      <c r="F9" s="58">
        <v>18474</v>
      </c>
      <c r="G9" s="58"/>
      <c r="H9" s="58"/>
      <c r="I9" s="58"/>
      <c r="J9" s="40"/>
      <c r="K9" s="58"/>
      <c r="L9" s="58"/>
      <c r="M9" s="59"/>
    </row>
    <row r="10" spans="1:13" x14ac:dyDescent="0.3">
      <c r="A10" s="42" t="s">
        <v>68</v>
      </c>
      <c r="B10" s="58">
        <v>2000</v>
      </c>
      <c r="C10" s="58">
        <v>18000</v>
      </c>
      <c r="D10" s="39"/>
      <c r="E10" s="58"/>
      <c r="F10" s="58">
        <v>20000</v>
      </c>
      <c r="G10" s="58"/>
      <c r="H10" s="58"/>
      <c r="I10" s="58"/>
      <c r="J10" s="40"/>
      <c r="K10" s="58"/>
      <c r="L10" s="58"/>
      <c r="M10" s="41"/>
    </row>
    <row r="11" spans="1:13" x14ac:dyDescent="0.3">
      <c r="A11" s="42" t="s">
        <v>18</v>
      </c>
      <c r="B11" s="58">
        <v>300</v>
      </c>
      <c r="C11" s="58">
        <v>2700</v>
      </c>
      <c r="D11" s="39"/>
      <c r="E11" s="58"/>
      <c r="F11" s="58">
        <v>3000</v>
      </c>
      <c r="G11" s="58"/>
      <c r="H11" s="58"/>
      <c r="I11" s="58"/>
      <c r="J11" s="40"/>
      <c r="K11" s="58"/>
      <c r="L11" s="58"/>
      <c r="M11" s="41"/>
    </row>
    <row r="12" spans="1:13" x14ac:dyDescent="0.3">
      <c r="A12" s="42" t="s">
        <v>55</v>
      </c>
      <c r="B12" s="64">
        <v>2400</v>
      </c>
      <c r="C12" s="58">
        <v>21600</v>
      </c>
      <c r="D12" s="39"/>
      <c r="E12" s="58"/>
      <c r="F12" s="58">
        <v>24000</v>
      </c>
      <c r="G12" s="58"/>
      <c r="H12" s="58"/>
      <c r="I12" s="58"/>
      <c r="J12" s="40"/>
      <c r="K12" s="58"/>
      <c r="L12" s="58"/>
      <c r="M12" s="41"/>
    </row>
    <row r="13" spans="1:13" x14ac:dyDescent="0.3">
      <c r="A13" s="42" t="s">
        <v>69</v>
      </c>
      <c r="B13" s="58">
        <v>13805</v>
      </c>
      <c r="C13" s="58">
        <v>55218</v>
      </c>
      <c r="D13" s="39"/>
      <c r="E13" s="58"/>
      <c r="F13" s="58">
        <v>31500</v>
      </c>
      <c r="G13" s="58"/>
      <c r="H13" s="58"/>
      <c r="I13" s="58">
        <v>37523</v>
      </c>
      <c r="J13" s="40"/>
      <c r="K13" s="58"/>
      <c r="L13" s="58"/>
      <c r="M13" s="41">
        <v>21</v>
      </c>
    </row>
    <row r="14" spans="1:13" x14ac:dyDescent="0.3">
      <c r="A14" s="42" t="s">
        <v>70</v>
      </c>
      <c r="B14" s="58">
        <v>4667</v>
      </c>
      <c r="C14" s="58">
        <v>18666</v>
      </c>
      <c r="D14" s="39"/>
      <c r="E14" s="58"/>
      <c r="F14" s="58">
        <v>23333</v>
      </c>
      <c r="G14" s="58"/>
      <c r="H14" s="58"/>
      <c r="I14" s="58"/>
      <c r="J14" s="40"/>
      <c r="K14" s="58"/>
      <c r="L14" s="58"/>
      <c r="M14" s="41"/>
    </row>
    <row r="15" spans="1:13" x14ac:dyDescent="0.3">
      <c r="A15" s="43" t="s">
        <v>71</v>
      </c>
      <c r="B15" s="58">
        <v>7000</v>
      </c>
      <c r="C15" s="58">
        <v>28000</v>
      </c>
      <c r="D15" s="39"/>
      <c r="E15" s="58"/>
      <c r="F15" s="58"/>
      <c r="G15" s="58"/>
      <c r="H15" s="58">
        <v>35000</v>
      </c>
      <c r="I15" s="58"/>
      <c r="J15" s="40"/>
      <c r="K15" s="58"/>
      <c r="L15" s="58"/>
      <c r="M15" s="41">
        <v>4</v>
      </c>
    </row>
    <row r="16" spans="1:13" x14ac:dyDescent="0.3">
      <c r="A16" s="43" t="s">
        <v>72</v>
      </c>
      <c r="B16" s="58"/>
      <c r="C16" s="58">
        <v>35000</v>
      </c>
      <c r="D16" s="39"/>
      <c r="E16" s="58"/>
      <c r="F16" s="58"/>
      <c r="G16" s="58"/>
      <c r="H16" s="58"/>
      <c r="I16" s="58">
        <v>35000</v>
      </c>
      <c r="J16" s="40"/>
      <c r="K16" s="58"/>
      <c r="L16" s="58"/>
      <c r="M16" s="59">
        <v>5</v>
      </c>
    </row>
    <row r="17" spans="1:13" x14ac:dyDescent="0.3">
      <c r="A17" s="42" t="s">
        <v>40</v>
      </c>
      <c r="B17" s="58"/>
      <c r="C17" s="58"/>
      <c r="D17" s="39"/>
      <c r="E17" s="58"/>
      <c r="F17" s="58"/>
      <c r="G17" s="58"/>
      <c r="H17" s="58"/>
      <c r="I17" s="58"/>
      <c r="J17" s="40"/>
      <c r="K17" s="58"/>
      <c r="L17" s="58"/>
      <c r="M17" s="41"/>
    </row>
    <row r="18" spans="1:13" x14ac:dyDescent="0.3">
      <c r="A18" s="42" t="s">
        <v>41</v>
      </c>
      <c r="B18" s="58">
        <v>5406</v>
      </c>
      <c r="C18" s="58">
        <v>9206</v>
      </c>
      <c r="D18" s="39"/>
      <c r="E18" s="58"/>
      <c r="F18" s="58">
        <f>SUM(B18:C18)</f>
        <v>14612</v>
      </c>
      <c r="G18" s="58"/>
      <c r="H18" s="58"/>
      <c r="I18" s="58"/>
      <c r="J18" s="40"/>
      <c r="K18" s="58"/>
      <c r="L18" s="58"/>
      <c r="M18" s="41"/>
    </row>
    <row r="19" spans="1:13" x14ac:dyDescent="0.3">
      <c r="A19" s="42" t="s">
        <v>42</v>
      </c>
      <c r="B19" s="58">
        <v>4440</v>
      </c>
      <c r="C19" s="58">
        <v>7560</v>
      </c>
      <c r="D19" s="39"/>
      <c r="E19" s="58"/>
      <c r="F19" s="58">
        <v>12000</v>
      </c>
      <c r="G19" s="58"/>
      <c r="H19" s="58"/>
      <c r="I19" s="58"/>
      <c r="J19" s="40"/>
      <c r="K19" s="58"/>
      <c r="L19" s="58"/>
      <c r="M19" s="41"/>
    </row>
    <row r="20" spans="1:13" x14ac:dyDescent="0.3">
      <c r="A20" s="42" t="s">
        <v>57</v>
      </c>
      <c r="B20" s="58"/>
      <c r="C20" s="58">
        <v>62500</v>
      </c>
      <c r="D20" s="39"/>
      <c r="E20" s="58"/>
      <c r="F20" s="58">
        <v>62500</v>
      </c>
      <c r="G20" s="58"/>
      <c r="H20" s="58"/>
      <c r="I20" s="58"/>
      <c r="J20" s="40"/>
      <c r="K20" s="58"/>
      <c r="L20" s="58"/>
      <c r="M20" s="41"/>
    </row>
    <row r="21" spans="1:13" x14ac:dyDescent="0.3">
      <c r="A21" s="43" t="s">
        <v>73</v>
      </c>
      <c r="B21" s="58">
        <v>420000</v>
      </c>
      <c r="C21" s="58">
        <v>5580000</v>
      </c>
      <c r="D21" s="39"/>
      <c r="E21" s="58"/>
      <c r="F21" s="58">
        <v>4000000</v>
      </c>
      <c r="G21" s="58"/>
      <c r="H21" s="58"/>
      <c r="I21" s="58"/>
      <c r="J21" s="40">
        <v>2000000</v>
      </c>
      <c r="K21" s="58"/>
      <c r="L21" s="58"/>
      <c r="M21" s="59">
        <v>65</v>
      </c>
    </row>
    <row r="22" spans="1:13" x14ac:dyDescent="0.3">
      <c r="A22" s="43" t="s">
        <v>74</v>
      </c>
      <c r="B22" s="58">
        <v>25000</v>
      </c>
      <c r="C22" s="58">
        <v>3000</v>
      </c>
      <c r="D22" s="39"/>
      <c r="E22" s="58"/>
      <c r="F22" s="58">
        <v>28000</v>
      </c>
      <c r="G22" s="58"/>
      <c r="H22" s="58"/>
      <c r="I22" s="58"/>
      <c r="J22" s="40"/>
      <c r="K22" s="58"/>
      <c r="L22" s="58"/>
      <c r="M22" s="41"/>
    </row>
    <row r="23" spans="1:13" x14ac:dyDescent="0.3">
      <c r="A23" s="43" t="s">
        <v>29</v>
      </c>
      <c r="B23" s="58"/>
      <c r="C23" s="58">
        <v>279996</v>
      </c>
      <c r="D23" s="39"/>
      <c r="E23" s="58"/>
      <c r="F23" s="58"/>
      <c r="G23" s="58"/>
      <c r="H23" s="58"/>
      <c r="I23" s="58"/>
      <c r="J23" s="40"/>
      <c r="K23" s="58"/>
      <c r="L23" s="58">
        <v>279996</v>
      </c>
      <c r="M23" s="41"/>
    </row>
    <row r="24" spans="1:13" x14ac:dyDescent="0.3">
      <c r="A24" s="42" t="s">
        <v>75</v>
      </c>
      <c r="B24" s="58"/>
      <c r="C24" s="58">
        <v>800000</v>
      </c>
      <c r="D24" s="39"/>
      <c r="E24" s="58"/>
      <c r="F24" s="58">
        <v>350000</v>
      </c>
      <c r="G24" s="58">
        <v>450000</v>
      </c>
      <c r="H24" s="58"/>
      <c r="I24" s="58"/>
      <c r="J24" s="40"/>
      <c r="K24" s="58"/>
      <c r="L24" s="58"/>
      <c r="M24" s="59"/>
    </row>
    <row r="25" spans="1:13" ht="15" thickBot="1" x14ac:dyDescent="0.35">
      <c r="A25" s="44" t="s">
        <v>31</v>
      </c>
      <c r="B25" s="60">
        <f>SUM(B3:B24)</f>
        <v>590295</v>
      </c>
      <c r="C25" s="60">
        <f>SUM(C3:C24)</f>
        <v>7358182.7999999998</v>
      </c>
      <c r="D25" s="46"/>
      <c r="E25" s="60">
        <f>SUM(E3:E24)</f>
        <v>290000</v>
      </c>
      <c r="F25" s="60">
        <f>SUM(F5:F24)</f>
        <v>4793459</v>
      </c>
      <c r="G25" s="60">
        <f>SUM(G24)</f>
        <v>450000</v>
      </c>
      <c r="H25" s="60">
        <f>SUM(H15:H24)</f>
        <v>35000</v>
      </c>
      <c r="I25" s="60">
        <f>SUM(I1:I24)</f>
        <v>72523</v>
      </c>
      <c r="J25" s="60">
        <f>SUM(J21:J24)</f>
        <v>2000000</v>
      </c>
      <c r="K25" s="60">
        <f>SUM(K1:K24)</f>
        <v>27500</v>
      </c>
      <c r="L25" s="60">
        <f>SUM(L1:L24)</f>
        <v>279996</v>
      </c>
      <c r="M25" s="61">
        <f>SUM(M13:M24)</f>
        <v>95</v>
      </c>
    </row>
    <row r="26" spans="1:13" ht="15" thickTop="1" x14ac:dyDescent="0.3">
      <c r="A26" s="48"/>
      <c r="B26" s="62" t="s">
        <v>32</v>
      </c>
      <c r="C26" s="62"/>
      <c r="D26" s="50"/>
      <c r="E26" s="62"/>
      <c r="F26" s="62"/>
      <c r="G26" s="62"/>
      <c r="H26" s="62"/>
      <c r="I26" s="62"/>
      <c r="J26" s="51"/>
      <c r="K26" s="62"/>
      <c r="L26" s="62"/>
      <c r="M26" s="52"/>
    </row>
    <row r="27" spans="1:13" x14ac:dyDescent="0.3">
      <c r="A27" s="42" t="s">
        <v>33</v>
      </c>
      <c r="B27" s="58">
        <f>SUM(B25:C25)</f>
        <v>7948477.7999999998</v>
      </c>
      <c r="C27" s="58"/>
      <c r="D27" s="50"/>
      <c r="E27" s="58"/>
      <c r="F27" s="58"/>
      <c r="G27" s="58"/>
      <c r="H27" s="58"/>
      <c r="I27" s="58"/>
      <c r="J27" s="40"/>
      <c r="K27" s="58"/>
      <c r="L27" s="58"/>
      <c r="M27" s="53"/>
    </row>
    <row r="28" spans="1:13" x14ac:dyDescent="0.3">
      <c r="A28" s="42" t="s">
        <v>76</v>
      </c>
      <c r="L28" s="54"/>
    </row>
    <row r="29" spans="1:13" x14ac:dyDescent="0.3">
      <c r="A29" s="42" t="s">
        <v>77</v>
      </c>
    </row>
    <row r="30" spans="1:13" x14ac:dyDescent="0.3">
      <c r="A30" s="42" t="s">
        <v>78</v>
      </c>
    </row>
  </sheetData>
  <pageMargins left="0.7" right="0.7" top="0.75" bottom="0.75" header="0.3" footer="0.3"/>
  <pageSetup scale="58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46"/>
  <sheetViews>
    <sheetView topLeftCell="A10" zoomScaleNormal="100" workbookViewId="0">
      <selection activeCell="B42" sqref="B3:B42"/>
    </sheetView>
  </sheetViews>
  <sheetFormatPr defaultRowHeight="14.4" x14ac:dyDescent="0.3"/>
  <cols>
    <col min="1" max="1" width="34.88671875" customWidth="1"/>
    <col min="2" max="2" width="14.6640625" customWidth="1"/>
    <col min="3" max="3" width="13.6640625" customWidth="1"/>
    <col min="5" max="5" width="14.44140625" customWidth="1"/>
    <col min="6" max="6" width="17.109375" customWidth="1"/>
    <col min="7" max="7" width="13.88671875" customWidth="1"/>
    <col min="8" max="8" width="13.44140625" style="101" customWidth="1"/>
    <col min="9" max="9" width="14.44140625" customWidth="1"/>
    <col min="10" max="10" width="10.44140625" bestFit="1" customWidth="1"/>
    <col min="11" max="11" width="12.109375" customWidth="1"/>
    <col min="12" max="12" width="14.5546875" customWidth="1"/>
    <col min="13" max="13" width="9.33203125" bestFit="1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109"/>
      <c r="I1" s="30"/>
      <c r="J1" s="30"/>
      <c r="K1" s="30"/>
      <c r="L1" s="30"/>
      <c r="M1" s="33"/>
    </row>
    <row r="2" spans="1:13" ht="40.200000000000003" x14ac:dyDescent="0.3">
      <c r="A2" s="34" t="s">
        <v>79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110" t="s">
        <v>307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s="37" t="s">
        <v>13</v>
      </c>
      <c r="B3" s="58">
        <v>50000</v>
      </c>
      <c r="C3" s="58">
        <v>200000</v>
      </c>
      <c r="D3" s="39"/>
      <c r="E3" s="58">
        <v>250000</v>
      </c>
      <c r="F3" s="58"/>
      <c r="G3" s="58"/>
      <c r="H3" s="111"/>
      <c r="I3" s="58"/>
      <c r="J3" s="40"/>
      <c r="K3" s="58"/>
      <c r="L3" s="58"/>
      <c r="M3" s="53"/>
    </row>
    <row r="4" spans="1:13" x14ac:dyDescent="0.3">
      <c r="A4" s="37" t="s">
        <v>80</v>
      </c>
      <c r="B4" s="58">
        <v>5265</v>
      </c>
      <c r="C4" s="58">
        <v>21058</v>
      </c>
      <c r="D4" s="39"/>
      <c r="E4" s="58">
        <v>26323</v>
      </c>
      <c r="F4" s="58"/>
      <c r="G4" s="58"/>
      <c r="H4" s="111"/>
      <c r="I4" s="58"/>
      <c r="J4" s="40"/>
      <c r="K4" s="58"/>
      <c r="L4" s="58"/>
      <c r="M4" s="53"/>
    </row>
    <row r="5" spans="1:13" x14ac:dyDescent="0.3">
      <c r="A5" s="42" t="s">
        <v>81</v>
      </c>
      <c r="B5" s="58">
        <v>99304</v>
      </c>
      <c r="C5" s="58">
        <v>397214</v>
      </c>
      <c r="D5" s="39"/>
      <c r="E5" s="58"/>
      <c r="F5" s="58">
        <v>250000</v>
      </c>
      <c r="G5" s="58"/>
      <c r="H5" s="111">
        <v>121518</v>
      </c>
      <c r="I5" s="58">
        <v>125000</v>
      </c>
      <c r="J5" s="40"/>
      <c r="K5" s="58"/>
      <c r="L5" s="58"/>
      <c r="M5" s="66">
        <v>15</v>
      </c>
    </row>
    <row r="6" spans="1:13" x14ac:dyDescent="0.3">
      <c r="A6" s="42" t="s">
        <v>82</v>
      </c>
      <c r="B6" s="58">
        <v>8000</v>
      </c>
      <c r="C6" s="58">
        <v>2000</v>
      </c>
      <c r="D6" s="39"/>
      <c r="E6" s="58"/>
      <c r="F6" s="58">
        <v>10000</v>
      </c>
      <c r="G6" s="58"/>
      <c r="H6" s="111"/>
      <c r="I6" s="58"/>
      <c r="J6" s="40"/>
      <c r="K6" s="58"/>
      <c r="L6" s="58"/>
      <c r="M6" s="53"/>
    </row>
    <row r="7" spans="1:13" x14ac:dyDescent="0.3">
      <c r="A7" s="42" t="s">
        <v>83</v>
      </c>
      <c r="B7" s="58">
        <v>2125</v>
      </c>
      <c r="C7" s="58">
        <v>19125</v>
      </c>
      <c r="D7" s="39"/>
      <c r="E7" s="58"/>
      <c r="F7" s="58"/>
      <c r="G7" s="58"/>
      <c r="H7" s="111"/>
      <c r="I7" s="58">
        <v>21250</v>
      </c>
      <c r="J7" s="40"/>
      <c r="K7" s="58"/>
      <c r="L7" s="58"/>
      <c r="M7" s="53">
        <v>8</v>
      </c>
    </row>
    <row r="8" spans="1:13" x14ac:dyDescent="0.3">
      <c r="A8" s="42" t="s">
        <v>14</v>
      </c>
      <c r="B8" s="58"/>
      <c r="C8" s="58"/>
      <c r="D8" s="39"/>
      <c r="E8" s="58"/>
      <c r="F8" s="58"/>
      <c r="G8" s="58"/>
      <c r="H8" s="111"/>
      <c r="I8" s="58"/>
      <c r="J8" s="40"/>
      <c r="K8" s="58"/>
      <c r="L8" s="58"/>
      <c r="M8" s="53"/>
    </row>
    <row r="9" spans="1:13" x14ac:dyDescent="0.3">
      <c r="A9" s="42" t="s">
        <v>84</v>
      </c>
      <c r="B9" s="58">
        <v>21040</v>
      </c>
      <c r="C9" s="58">
        <v>80000</v>
      </c>
      <c r="D9" s="39"/>
      <c r="E9" s="58"/>
      <c r="F9" s="58">
        <v>101040</v>
      </c>
      <c r="G9" s="58"/>
      <c r="H9" s="111"/>
      <c r="I9" s="58"/>
      <c r="J9" s="40"/>
      <c r="K9" s="58"/>
      <c r="L9" s="58"/>
      <c r="M9" s="53"/>
    </row>
    <row r="10" spans="1:13" x14ac:dyDescent="0.3">
      <c r="A10" s="67" t="s">
        <v>16</v>
      </c>
      <c r="B10" s="58">
        <v>15000</v>
      </c>
      <c r="C10" s="58">
        <v>60000</v>
      </c>
      <c r="D10" s="39"/>
      <c r="E10" s="58"/>
      <c r="F10" s="58">
        <v>75000</v>
      </c>
      <c r="G10" s="58"/>
      <c r="H10" s="111"/>
      <c r="I10" s="58"/>
      <c r="J10" s="40"/>
      <c r="K10" s="58"/>
      <c r="L10" s="58"/>
      <c r="M10" s="53"/>
    </row>
    <row r="11" spans="1:13" x14ac:dyDescent="0.3">
      <c r="A11" s="42" t="s">
        <v>85</v>
      </c>
      <c r="B11" s="58"/>
      <c r="C11" s="58">
        <v>350000</v>
      </c>
      <c r="D11" s="39"/>
      <c r="E11" s="58"/>
      <c r="F11" s="58">
        <v>350000</v>
      </c>
      <c r="G11" s="58"/>
      <c r="H11" s="111"/>
      <c r="I11" s="58"/>
      <c r="J11" s="40"/>
      <c r="K11" s="58"/>
      <c r="L11" s="58"/>
      <c r="M11" s="66"/>
    </row>
    <row r="12" spans="1:13" x14ac:dyDescent="0.3">
      <c r="A12" s="42" t="s">
        <v>86</v>
      </c>
      <c r="B12" s="58">
        <v>8000</v>
      </c>
      <c r="C12" s="58">
        <v>2000</v>
      </c>
      <c r="D12" s="39"/>
      <c r="E12" s="58"/>
      <c r="F12" s="58">
        <v>10000</v>
      </c>
      <c r="G12" s="58"/>
      <c r="H12" s="111"/>
      <c r="I12" s="58"/>
      <c r="J12" s="40"/>
      <c r="K12" s="58"/>
      <c r="L12" s="58"/>
      <c r="M12" s="53">
        <v>3</v>
      </c>
    </row>
    <row r="13" spans="1:13" x14ac:dyDescent="0.3">
      <c r="A13" s="42" t="s">
        <v>87</v>
      </c>
      <c r="B13" s="58"/>
      <c r="C13" s="58">
        <v>284000</v>
      </c>
      <c r="D13" s="39"/>
      <c r="E13" s="58"/>
      <c r="F13" s="58">
        <v>250000</v>
      </c>
      <c r="G13" s="58"/>
      <c r="H13" s="111"/>
      <c r="I13" s="58">
        <v>34000</v>
      </c>
      <c r="J13" s="40"/>
      <c r="K13" s="58"/>
      <c r="L13" s="58"/>
      <c r="M13" s="66">
        <v>10</v>
      </c>
    </row>
    <row r="14" spans="1:13" x14ac:dyDescent="0.3">
      <c r="A14" s="42" t="s">
        <v>88</v>
      </c>
      <c r="B14" s="58">
        <v>300</v>
      </c>
      <c r="C14" s="58">
        <v>2700</v>
      </c>
      <c r="D14" s="39"/>
      <c r="E14" s="58"/>
      <c r="F14" s="58">
        <v>3000</v>
      </c>
      <c r="G14" s="58"/>
      <c r="H14" s="111"/>
      <c r="I14" s="58"/>
      <c r="J14" s="40"/>
      <c r="K14" s="58"/>
      <c r="L14" s="58"/>
      <c r="M14" s="53"/>
    </row>
    <row r="15" spans="1:13" x14ac:dyDescent="0.3">
      <c r="A15" s="42" t="s">
        <v>89</v>
      </c>
      <c r="B15" s="58"/>
      <c r="C15" s="58"/>
      <c r="D15" s="39"/>
      <c r="E15" s="58"/>
      <c r="F15" s="58"/>
      <c r="G15" s="58"/>
      <c r="H15" s="111"/>
      <c r="I15" s="58"/>
      <c r="J15" s="40"/>
      <c r="K15" s="58"/>
      <c r="L15" s="58"/>
      <c r="M15" s="66"/>
    </row>
    <row r="16" spans="1:13" x14ac:dyDescent="0.3">
      <c r="A16" s="42" t="s">
        <v>90</v>
      </c>
      <c r="B16" s="58"/>
      <c r="C16" s="58">
        <v>3500</v>
      </c>
      <c r="D16" s="39"/>
      <c r="E16" s="58"/>
      <c r="F16" s="58">
        <v>3500</v>
      </c>
      <c r="G16" s="58"/>
      <c r="H16" s="111"/>
      <c r="I16" s="58"/>
      <c r="J16" s="40"/>
      <c r="K16" s="58"/>
      <c r="L16" s="58"/>
      <c r="M16" s="53"/>
    </row>
    <row r="17" spans="1:13" x14ac:dyDescent="0.3">
      <c r="A17" s="42" t="s">
        <v>91</v>
      </c>
      <c r="B17" s="58"/>
      <c r="C17" s="58">
        <v>50000</v>
      </c>
      <c r="D17" s="39"/>
      <c r="E17" s="58"/>
      <c r="F17" s="58">
        <v>50000</v>
      </c>
      <c r="G17" s="58"/>
      <c r="H17" s="111"/>
      <c r="I17" s="58"/>
      <c r="J17" s="40"/>
      <c r="K17" s="58"/>
      <c r="L17" s="58"/>
      <c r="M17" s="53"/>
    </row>
    <row r="18" spans="1:13" x14ac:dyDescent="0.3">
      <c r="A18" s="42" t="s">
        <v>92</v>
      </c>
      <c r="B18" s="58">
        <v>32739</v>
      </c>
      <c r="C18" s="58">
        <v>294652</v>
      </c>
      <c r="D18" s="39"/>
      <c r="E18" s="58"/>
      <c r="F18" s="58">
        <v>90000</v>
      </c>
      <c r="G18" s="58">
        <v>150000</v>
      </c>
      <c r="H18" s="111">
        <v>62391</v>
      </c>
      <c r="I18" s="58">
        <v>25000</v>
      </c>
      <c r="J18" s="40"/>
      <c r="K18" s="58"/>
      <c r="L18" s="58"/>
      <c r="M18" s="66">
        <v>16</v>
      </c>
    </row>
    <row r="19" spans="1:13" x14ac:dyDescent="0.3">
      <c r="A19" s="42" t="s">
        <v>93</v>
      </c>
      <c r="B19" s="58">
        <v>9237</v>
      </c>
      <c r="C19" s="58">
        <v>9236</v>
      </c>
      <c r="D19" s="39"/>
      <c r="E19" s="58"/>
      <c r="F19" s="58">
        <v>18473</v>
      </c>
      <c r="G19" s="58"/>
      <c r="H19" s="111"/>
      <c r="I19" s="58"/>
      <c r="J19" s="40"/>
      <c r="K19" s="58"/>
      <c r="L19" s="58"/>
      <c r="M19" s="53"/>
    </row>
    <row r="20" spans="1:13" x14ac:dyDescent="0.3">
      <c r="A20" s="42" t="s">
        <v>94</v>
      </c>
      <c r="B20" s="58">
        <v>3000</v>
      </c>
      <c r="C20" s="58">
        <v>27000</v>
      </c>
      <c r="D20" s="39"/>
      <c r="E20" s="58"/>
      <c r="F20" s="58">
        <v>30000</v>
      </c>
      <c r="G20" s="58"/>
      <c r="H20" s="111"/>
      <c r="I20" s="58"/>
      <c r="J20" s="40"/>
      <c r="K20" s="58"/>
      <c r="L20" s="58"/>
      <c r="M20" s="53"/>
    </row>
    <row r="21" spans="1:13" x14ac:dyDescent="0.3">
      <c r="A21" s="42" t="s">
        <v>95</v>
      </c>
      <c r="B21" s="58"/>
      <c r="C21" s="58">
        <v>1123508</v>
      </c>
      <c r="D21" s="39"/>
      <c r="E21" s="58"/>
      <c r="F21" s="58">
        <v>440000</v>
      </c>
      <c r="G21" s="58"/>
      <c r="H21" s="111"/>
      <c r="I21" s="58">
        <v>683508</v>
      </c>
      <c r="J21" s="40"/>
      <c r="K21" s="58"/>
      <c r="L21" s="58"/>
      <c r="M21" s="66">
        <v>77</v>
      </c>
    </row>
    <row r="22" spans="1:13" x14ac:dyDescent="0.3">
      <c r="A22" s="42" t="s">
        <v>96</v>
      </c>
      <c r="B22" s="58"/>
      <c r="C22" s="58">
        <v>255856</v>
      </c>
      <c r="D22" s="39"/>
      <c r="E22" s="58"/>
      <c r="F22" s="58"/>
      <c r="G22" s="58"/>
      <c r="H22" s="111"/>
      <c r="I22" s="58"/>
      <c r="J22" s="40"/>
      <c r="K22" s="58"/>
      <c r="L22" s="58">
        <v>255856</v>
      </c>
      <c r="M22" s="53"/>
    </row>
    <row r="23" spans="1:13" x14ac:dyDescent="0.3">
      <c r="A23" s="42" t="s">
        <v>97</v>
      </c>
      <c r="B23" s="58"/>
      <c r="C23" s="58">
        <v>10000</v>
      </c>
      <c r="D23" s="39"/>
      <c r="E23" s="58"/>
      <c r="F23" s="58"/>
      <c r="G23" s="58"/>
      <c r="H23" s="111">
        <v>10000</v>
      </c>
      <c r="I23" s="58"/>
      <c r="J23" s="40"/>
      <c r="K23" s="58"/>
      <c r="L23" s="58"/>
      <c r="M23" s="66">
        <v>2</v>
      </c>
    </row>
    <row r="24" spans="1:13" x14ac:dyDescent="0.3">
      <c r="A24" s="42" t="s">
        <v>98</v>
      </c>
      <c r="B24" s="58">
        <v>2000</v>
      </c>
      <c r="C24" s="58">
        <v>18000</v>
      </c>
      <c r="D24" s="39"/>
      <c r="E24" s="58"/>
      <c r="F24" s="58"/>
      <c r="G24" s="58">
        <v>20000</v>
      </c>
      <c r="H24" s="111"/>
      <c r="I24" s="58"/>
      <c r="J24" s="40"/>
      <c r="K24" s="58"/>
      <c r="L24" s="58"/>
      <c r="M24" s="53">
        <v>2</v>
      </c>
    </row>
    <row r="25" spans="1:13" x14ac:dyDescent="0.3">
      <c r="A25" s="37" t="s">
        <v>99</v>
      </c>
      <c r="B25" s="58"/>
      <c r="C25" s="58"/>
      <c r="D25" s="39"/>
      <c r="E25" s="58"/>
      <c r="F25" s="58"/>
      <c r="G25" s="58"/>
      <c r="H25" s="111"/>
      <c r="I25" s="58"/>
      <c r="J25" s="40"/>
      <c r="K25" s="58"/>
      <c r="L25" s="58"/>
      <c r="M25" s="53"/>
    </row>
    <row r="26" spans="1:13" x14ac:dyDescent="0.3">
      <c r="A26" s="37" t="s">
        <v>100</v>
      </c>
      <c r="B26" s="58">
        <v>26000</v>
      </c>
      <c r="C26" s="58"/>
      <c r="D26" s="39"/>
      <c r="E26" s="58"/>
      <c r="F26" s="58">
        <v>26000</v>
      </c>
      <c r="G26" s="58"/>
      <c r="H26" s="111"/>
      <c r="I26" s="58"/>
      <c r="J26" s="40"/>
      <c r="K26" s="58"/>
      <c r="L26" s="58"/>
      <c r="M26" s="53"/>
    </row>
    <row r="27" spans="1:13" x14ac:dyDescent="0.3">
      <c r="A27" s="37" t="s">
        <v>101</v>
      </c>
      <c r="B27" s="58">
        <v>10000</v>
      </c>
      <c r="C27" s="58">
        <v>90000</v>
      </c>
      <c r="D27" s="39"/>
      <c r="E27" s="58"/>
      <c r="F27" s="58">
        <v>100000</v>
      </c>
      <c r="G27" s="58"/>
      <c r="H27" s="111"/>
      <c r="I27" s="58"/>
      <c r="J27" s="40"/>
      <c r="K27" s="58"/>
      <c r="L27" s="58"/>
      <c r="M27" s="53"/>
    </row>
    <row r="28" spans="1:13" x14ac:dyDescent="0.3">
      <c r="A28" s="42" t="s">
        <v>102</v>
      </c>
      <c r="B28" s="58">
        <v>60000</v>
      </c>
      <c r="C28" s="58">
        <v>240000</v>
      </c>
      <c r="D28" s="39"/>
      <c r="E28" s="58"/>
      <c r="F28" s="58"/>
      <c r="G28" s="58">
        <v>300000</v>
      </c>
      <c r="H28" s="111"/>
      <c r="I28" s="58"/>
      <c r="J28" s="40"/>
      <c r="K28" s="58"/>
      <c r="L28" s="58"/>
      <c r="M28" s="53"/>
    </row>
    <row r="29" spans="1:13" x14ac:dyDescent="0.3">
      <c r="A29" s="42" t="s">
        <v>103</v>
      </c>
      <c r="B29" s="58"/>
      <c r="C29" s="58"/>
      <c r="D29" s="39"/>
      <c r="E29" s="58"/>
      <c r="F29" s="58"/>
      <c r="G29" s="58"/>
      <c r="H29" s="111"/>
      <c r="I29" s="58">
        <v>81210</v>
      </c>
      <c r="J29" s="40"/>
      <c r="K29" s="58"/>
      <c r="L29" s="58"/>
      <c r="M29" s="66"/>
    </row>
    <row r="30" spans="1:13" x14ac:dyDescent="0.3">
      <c r="A30" s="67" t="s">
        <v>104</v>
      </c>
      <c r="B30" s="58">
        <v>7080</v>
      </c>
      <c r="C30" s="58">
        <v>7080</v>
      </c>
      <c r="D30" s="39"/>
      <c r="E30" s="58"/>
      <c r="F30" s="58">
        <v>14159.76</v>
      </c>
      <c r="G30" s="58"/>
      <c r="H30" s="111"/>
      <c r="I30" s="58"/>
      <c r="J30" s="40"/>
      <c r="K30" s="58"/>
      <c r="L30" s="58"/>
      <c r="M30" s="66"/>
    </row>
    <row r="31" spans="1:13" x14ac:dyDescent="0.3">
      <c r="A31" s="42" t="s">
        <v>105</v>
      </c>
      <c r="B31" s="58"/>
      <c r="C31" s="58"/>
      <c r="D31" s="39"/>
      <c r="E31" s="58"/>
      <c r="F31" s="58"/>
      <c r="G31" s="58"/>
      <c r="H31" s="111"/>
      <c r="I31" s="58"/>
      <c r="J31" s="40"/>
      <c r="K31" s="58"/>
      <c r="L31" s="58"/>
      <c r="M31" s="53"/>
    </row>
    <row r="32" spans="1:13" x14ac:dyDescent="0.3">
      <c r="A32" s="42" t="s">
        <v>106</v>
      </c>
      <c r="B32" s="58">
        <v>21333</v>
      </c>
      <c r="C32" s="58">
        <v>192000</v>
      </c>
      <c r="D32" s="39"/>
      <c r="E32" s="58"/>
      <c r="F32" s="58"/>
      <c r="G32" s="58"/>
      <c r="H32" s="111"/>
      <c r="I32" s="58"/>
      <c r="J32" s="40"/>
      <c r="K32" s="58">
        <v>213333</v>
      </c>
      <c r="L32" s="58"/>
      <c r="M32" s="53"/>
    </row>
    <row r="33" spans="1:13" x14ac:dyDescent="0.3">
      <c r="A33" s="42" t="s">
        <v>107</v>
      </c>
      <c r="B33" s="58">
        <v>8083</v>
      </c>
      <c r="C33" s="58">
        <v>72750</v>
      </c>
      <c r="D33" s="39"/>
      <c r="E33" s="58"/>
      <c r="F33" s="58"/>
      <c r="G33" s="58">
        <v>80833</v>
      </c>
      <c r="H33" s="111"/>
      <c r="I33" s="58"/>
      <c r="J33" s="40"/>
      <c r="K33" s="58"/>
      <c r="L33" s="58"/>
      <c r="M33" s="53"/>
    </row>
    <row r="34" spans="1:13" x14ac:dyDescent="0.3">
      <c r="A34" s="42" t="s">
        <v>108</v>
      </c>
      <c r="B34" s="58">
        <v>1333</v>
      </c>
      <c r="C34" s="58">
        <v>12000</v>
      </c>
      <c r="D34" s="39"/>
      <c r="E34" s="58"/>
      <c r="F34" s="58"/>
      <c r="G34" s="58">
        <v>13333</v>
      </c>
      <c r="H34" s="111"/>
      <c r="I34" s="58"/>
      <c r="J34" s="40"/>
      <c r="K34" s="58"/>
      <c r="L34" s="58"/>
      <c r="M34" s="53"/>
    </row>
    <row r="35" spans="1:13" x14ac:dyDescent="0.3">
      <c r="A35" s="42" t="s">
        <v>109</v>
      </c>
      <c r="B35" s="58"/>
      <c r="C35" s="58">
        <v>540571</v>
      </c>
      <c r="D35" s="39"/>
      <c r="E35" s="58"/>
      <c r="F35" s="58">
        <v>264000</v>
      </c>
      <c r="G35" s="58">
        <v>150000</v>
      </c>
      <c r="H35" s="111">
        <v>66570.84</v>
      </c>
      <c r="I35" s="58">
        <v>60000</v>
      </c>
      <c r="J35" s="40"/>
      <c r="K35" s="58"/>
      <c r="L35" s="58"/>
      <c r="M35" s="66">
        <v>8</v>
      </c>
    </row>
    <row r="36" spans="1:13" x14ac:dyDescent="0.3">
      <c r="A36" s="42" t="s">
        <v>110</v>
      </c>
      <c r="B36" s="58">
        <v>13500</v>
      </c>
      <c r="C36" s="58">
        <v>1500</v>
      </c>
      <c r="D36" s="39"/>
      <c r="E36" s="58"/>
      <c r="F36" s="58"/>
      <c r="G36" s="58"/>
      <c r="H36" s="111">
        <v>15000</v>
      </c>
      <c r="I36" s="58"/>
      <c r="J36" s="40"/>
      <c r="K36" s="58"/>
      <c r="L36" s="58"/>
      <c r="M36" s="66">
        <v>3</v>
      </c>
    </row>
    <row r="37" spans="1:13" x14ac:dyDescent="0.3">
      <c r="A37" s="42" t="s">
        <v>111</v>
      </c>
      <c r="B37" s="58"/>
      <c r="C37" s="58">
        <v>30000</v>
      </c>
      <c r="D37" s="39"/>
      <c r="E37" s="58"/>
      <c r="F37" s="58"/>
      <c r="G37" s="58"/>
      <c r="H37" s="111"/>
      <c r="I37" s="58">
        <v>30000</v>
      </c>
      <c r="J37" s="40"/>
      <c r="K37" s="58"/>
      <c r="L37" s="58"/>
      <c r="M37" s="66">
        <v>5</v>
      </c>
    </row>
    <row r="38" spans="1:13" x14ac:dyDescent="0.3">
      <c r="A38" s="42" t="s">
        <v>112</v>
      </c>
      <c r="B38" s="58">
        <v>2400</v>
      </c>
      <c r="C38" s="58">
        <v>9600</v>
      </c>
      <c r="D38" s="39"/>
      <c r="E38" s="58"/>
      <c r="F38" s="58">
        <v>12000</v>
      </c>
      <c r="G38" s="58"/>
      <c r="H38" s="111"/>
      <c r="I38" s="58"/>
      <c r="J38" s="40"/>
      <c r="K38" s="58"/>
      <c r="L38" s="58"/>
      <c r="M38" s="53"/>
    </row>
    <row r="39" spans="1:13" x14ac:dyDescent="0.3">
      <c r="A39" s="42" t="s">
        <v>113</v>
      </c>
      <c r="B39" s="58"/>
      <c r="C39" s="58">
        <v>62500</v>
      </c>
      <c r="D39" s="39"/>
      <c r="E39" s="58"/>
      <c r="F39" s="58">
        <v>62500</v>
      </c>
      <c r="G39" s="58"/>
      <c r="H39" s="111"/>
      <c r="I39" s="58"/>
      <c r="J39" s="40"/>
      <c r="K39" s="58"/>
      <c r="L39" s="58"/>
      <c r="M39" s="53"/>
    </row>
    <row r="40" spans="1:13" x14ac:dyDescent="0.3">
      <c r="A40" s="42" t="s">
        <v>114</v>
      </c>
      <c r="B40" s="58">
        <v>10000</v>
      </c>
      <c r="C40" s="58">
        <v>90000</v>
      </c>
      <c r="D40" s="39"/>
      <c r="E40" s="58"/>
      <c r="F40" s="58">
        <v>27000</v>
      </c>
      <c r="G40" s="58"/>
      <c r="H40" s="111"/>
      <c r="I40" s="58">
        <v>43000</v>
      </c>
      <c r="J40" s="40">
        <v>30000</v>
      </c>
      <c r="K40" s="58"/>
      <c r="L40" s="58"/>
      <c r="M40" s="66">
        <v>4</v>
      </c>
    </row>
    <row r="41" spans="1:13" x14ac:dyDescent="0.3">
      <c r="A41" s="42" t="s">
        <v>29</v>
      </c>
      <c r="B41" s="58"/>
      <c r="C41" s="58">
        <v>279996</v>
      </c>
      <c r="D41" s="39"/>
      <c r="E41" s="58"/>
      <c r="F41" s="58"/>
      <c r="G41" s="58"/>
      <c r="H41" s="111"/>
      <c r="I41" s="58"/>
      <c r="J41" s="40"/>
      <c r="K41" s="58"/>
      <c r="L41" s="58">
        <v>279996</v>
      </c>
      <c r="M41" s="66"/>
    </row>
    <row r="42" spans="1:13" ht="15" thickBot="1" x14ac:dyDescent="0.35">
      <c r="A42" s="44" t="s">
        <v>31</v>
      </c>
      <c r="B42" s="60">
        <f>SUM(B3:B41)</f>
        <v>415739</v>
      </c>
      <c r="C42" s="60">
        <f>SUM(C3:C41)</f>
        <v>4837846</v>
      </c>
      <c r="D42" s="46"/>
      <c r="E42" s="60">
        <f>SUM(E3:E41)</f>
        <v>276323</v>
      </c>
      <c r="F42" s="60">
        <f>SUM(F3:F41)</f>
        <v>2186672.7599999998</v>
      </c>
      <c r="G42" s="60">
        <f>SUM(G18:G41)</f>
        <v>714166</v>
      </c>
      <c r="H42" s="112">
        <f>SUM(H5:H41)</f>
        <v>275479.83999999997</v>
      </c>
      <c r="I42" s="60">
        <f>SUM(I5:I41)</f>
        <v>1102968</v>
      </c>
      <c r="J42" s="60">
        <f>SUM(J40:J41)</f>
        <v>30000</v>
      </c>
      <c r="K42" s="60">
        <f>SUM(K32:K41)</f>
        <v>213333</v>
      </c>
      <c r="L42" s="60">
        <f>SUM(L3:L41)</f>
        <v>535852</v>
      </c>
      <c r="M42" s="68">
        <f>SUM(M1:M41)</f>
        <v>153</v>
      </c>
    </row>
    <row r="43" spans="1:13" ht="15" thickTop="1" x14ac:dyDescent="0.3">
      <c r="A43" s="48"/>
      <c r="B43" s="62" t="s">
        <v>32</v>
      </c>
      <c r="C43" s="62"/>
      <c r="D43" s="50"/>
      <c r="E43" s="62"/>
      <c r="F43" s="62"/>
      <c r="G43" s="62"/>
      <c r="H43" s="113"/>
      <c r="I43" s="62"/>
      <c r="J43" s="51"/>
      <c r="K43" s="62"/>
      <c r="L43" s="62"/>
      <c r="M43" s="52"/>
    </row>
    <row r="44" spans="1:13" x14ac:dyDescent="0.3">
      <c r="A44" s="42" t="s">
        <v>33</v>
      </c>
      <c r="B44" s="58">
        <f>SUM(B42:C42)</f>
        <v>5253585</v>
      </c>
      <c r="C44" s="58"/>
      <c r="D44" s="50"/>
      <c r="E44" s="58"/>
      <c r="F44" s="58"/>
      <c r="G44" s="58"/>
      <c r="H44" s="111"/>
      <c r="I44" s="58"/>
      <c r="J44" s="40"/>
      <c r="K44" s="58"/>
      <c r="L44" s="58"/>
      <c r="M44" s="53"/>
    </row>
    <row r="45" spans="1:13" x14ac:dyDescent="0.3">
      <c r="A45" s="42" t="s">
        <v>115</v>
      </c>
      <c r="B45" s="69"/>
      <c r="C45" s="69"/>
      <c r="D45" s="70"/>
      <c r="E45" s="69"/>
      <c r="F45" s="69"/>
      <c r="G45" s="69"/>
      <c r="H45" s="114"/>
      <c r="I45" s="69"/>
      <c r="J45" s="43"/>
      <c r="K45" s="69"/>
      <c r="L45" s="69"/>
      <c r="M45" s="53"/>
    </row>
    <row r="46" spans="1:13" x14ac:dyDescent="0.3">
      <c r="A46" s="43"/>
      <c r="B46" s="43"/>
      <c r="C46" s="43"/>
      <c r="D46" s="43"/>
      <c r="E46" s="43"/>
      <c r="F46" s="43"/>
      <c r="G46" s="43"/>
      <c r="H46" s="115"/>
      <c r="I46" s="43"/>
      <c r="J46" s="43"/>
      <c r="K46" s="43"/>
      <c r="L46" s="43"/>
      <c r="M46" s="43"/>
    </row>
  </sheetData>
  <pageMargins left="0.7" right="0.7" top="0.75" bottom="0.75" header="0.3" footer="0.3"/>
  <pageSetup scale="55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36"/>
  <sheetViews>
    <sheetView zoomScaleNormal="100" workbookViewId="0">
      <selection activeCell="B28" sqref="B3:B28"/>
    </sheetView>
  </sheetViews>
  <sheetFormatPr defaultRowHeight="14.4" x14ac:dyDescent="0.3"/>
  <cols>
    <col min="1" max="1" width="37" customWidth="1"/>
    <col min="2" max="2" width="13.109375" customWidth="1"/>
    <col min="3" max="3" width="17.109375" customWidth="1"/>
    <col min="5" max="5" width="14" customWidth="1"/>
    <col min="6" max="6" width="13.88671875" customWidth="1"/>
    <col min="7" max="7" width="11.88671875" customWidth="1"/>
    <col min="8" max="8" width="10.44140625" bestFit="1" customWidth="1"/>
    <col min="9" max="9" width="14.109375" customWidth="1"/>
    <col min="11" max="11" width="12.6640625" customWidth="1"/>
    <col min="12" max="12" width="15.6640625" customWidth="1"/>
    <col min="13" max="13" width="9.33203125" bestFit="1" customWidth="1"/>
  </cols>
  <sheetData>
    <row r="1" spans="1:14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4" x14ac:dyDescent="0.3">
      <c r="A2" s="34" t="s">
        <v>116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7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  <c r="N2" s="71" t="s">
        <v>118</v>
      </c>
    </row>
    <row r="3" spans="1:14" x14ac:dyDescent="0.3">
      <c r="A3" s="43" t="s">
        <v>13</v>
      </c>
      <c r="B3" s="72">
        <v>40000</v>
      </c>
      <c r="C3" s="72">
        <v>160000</v>
      </c>
      <c r="D3" s="39"/>
      <c r="E3" s="72">
        <f>SUM(B3:C3)</f>
        <v>200000</v>
      </c>
      <c r="F3" s="72"/>
      <c r="G3" s="72"/>
      <c r="H3" s="72"/>
      <c r="I3" s="72"/>
      <c r="J3" s="40"/>
      <c r="K3" s="72"/>
      <c r="L3" s="72"/>
      <c r="M3" s="53"/>
      <c r="N3" s="43"/>
    </row>
    <row r="4" spans="1:14" x14ac:dyDescent="0.3">
      <c r="A4" s="42" t="s">
        <v>119</v>
      </c>
      <c r="B4" s="72">
        <v>70185.94</v>
      </c>
      <c r="C4" s="72">
        <v>329981</v>
      </c>
      <c r="D4" s="39"/>
      <c r="E4" s="72"/>
      <c r="F4" s="72"/>
      <c r="G4" s="72"/>
      <c r="H4" s="72"/>
      <c r="I4" s="72"/>
      <c r="J4" s="40"/>
      <c r="K4" s="72"/>
      <c r="L4" s="72">
        <f>SUM(B4:C4)</f>
        <v>400166.94</v>
      </c>
      <c r="M4" s="53"/>
      <c r="N4" s="43"/>
    </row>
    <row r="5" spans="1:14" x14ac:dyDescent="0.3">
      <c r="A5" s="42" t="s">
        <v>120</v>
      </c>
      <c r="B5" s="72">
        <v>4070</v>
      </c>
      <c r="C5" s="72">
        <v>16280</v>
      </c>
      <c r="D5" s="39"/>
      <c r="E5" s="72"/>
      <c r="F5" s="72"/>
      <c r="G5" s="72"/>
      <c r="H5" s="72"/>
      <c r="I5" s="72">
        <f>SUM(B5:C5)</f>
        <v>20350</v>
      </c>
      <c r="J5" s="40"/>
      <c r="K5" s="72"/>
      <c r="L5" s="72"/>
      <c r="M5" s="53">
        <v>15</v>
      </c>
      <c r="N5" s="43"/>
    </row>
    <row r="6" spans="1:14" x14ac:dyDescent="0.3">
      <c r="A6" s="42" t="s">
        <v>121</v>
      </c>
      <c r="B6" s="72">
        <v>90000</v>
      </c>
      <c r="C6" s="72">
        <v>90000</v>
      </c>
      <c r="D6" s="39"/>
      <c r="E6" s="72"/>
      <c r="F6" s="72">
        <v>10000</v>
      </c>
      <c r="G6" s="72">
        <v>150000</v>
      </c>
      <c r="H6" s="72">
        <v>20000</v>
      </c>
      <c r="I6" s="72"/>
      <c r="J6" s="40"/>
      <c r="K6" s="72"/>
      <c r="L6" s="72"/>
      <c r="M6" s="53">
        <v>4</v>
      </c>
      <c r="N6" s="43"/>
    </row>
    <row r="7" spans="1:14" x14ac:dyDescent="0.3">
      <c r="A7" s="42" t="s">
        <v>122</v>
      </c>
      <c r="B7" s="72">
        <v>21040</v>
      </c>
      <c r="C7" s="72">
        <v>80000</v>
      </c>
      <c r="D7" s="39"/>
      <c r="E7" s="72"/>
      <c r="F7" s="72">
        <f t="shared" ref="F7:F12" si="0">SUM(B7:C7)</f>
        <v>101040</v>
      </c>
      <c r="G7" s="72"/>
      <c r="H7" s="72"/>
      <c r="I7" s="72"/>
      <c r="J7" s="40"/>
      <c r="K7" s="72"/>
      <c r="L7" s="72"/>
      <c r="M7" s="53">
        <v>2</v>
      </c>
      <c r="N7" s="43"/>
    </row>
    <row r="8" spans="1:14" x14ac:dyDescent="0.3">
      <c r="A8" s="42" t="s">
        <v>123</v>
      </c>
      <c r="B8" s="72">
        <v>34999.99</v>
      </c>
      <c r="C8" s="72">
        <v>139999.97</v>
      </c>
      <c r="D8" s="39"/>
      <c r="E8" s="72"/>
      <c r="F8" s="72">
        <f t="shared" si="0"/>
        <v>174999.96</v>
      </c>
      <c r="G8" s="72"/>
      <c r="H8" s="72"/>
      <c r="I8" s="72"/>
      <c r="J8" s="40"/>
      <c r="K8" s="72"/>
      <c r="L8" s="72"/>
      <c r="M8" s="53">
        <v>18</v>
      </c>
      <c r="N8" s="43"/>
    </row>
    <row r="9" spans="1:14" x14ac:dyDescent="0.3">
      <c r="A9" s="43" t="s">
        <v>124</v>
      </c>
      <c r="B9" s="72">
        <v>10000</v>
      </c>
      <c r="C9" s="72">
        <v>40000</v>
      </c>
      <c r="D9" s="39"/>
      <c r="E9" s="72"/>
      <c r="F9" s="72">
        <f t="shared" si="0"/>
        <v>50000</v>
      </c>
      <c r="G9" s="72"/>
      <c r="H9" s="72"/>
      <c r="I9" s="72"/>
      <c r="J9" s="40"/>
      <c r="K9" s="72"/>
      <c r="L9" s="72"/>
      <c r="M9" s="53"/>
      <c r="N9" s="43"/>
    </row>
    <row r="10" spans="1:14" x14ac:dyDescent="0.3">
      <c r="A10" s="42" t="s">
        <v>125</v>
      </c>
      <c r="B10" s="72">
        <v>390</v>
      </c>
      <c r="C10" s="72">
        <v>1560</v>
      </c>
      <c r="D10" s="39"/>
      <c r="E10" s="72"/>
      <c r="F10" s="72">
        <f t="shared" si="0"/>
        <v>1950</v>
      </c>
      <c r="G10" s="72"/>
      <c r="H10" s="72"/>
      <c r="I10" s="72"/>
      <c r="J10" s="40"/>
      <c r="K10" s="72"/>
      <c r="L10" s="72"/>
      <c r="M10" s="53"/>
      <c r="N10" s="43"/>
    </row>
    <row r="11" spans="1:14" x14ac:dyDescent="0.3">
      <c r="A11" s="42" t="s">
        <v>126</v>
      </c>
      <c r="B11" s="72">
        <v>5900</v>
      </c>
      <c r="C11" s="72">
        <v>2600</v>
      </c>
      <c r="D11" s="39"/>
      <c r="E11" s="72"/>
      <c r="F11" s="72">
        <f t="shared" si="0"/>
        <v>8500</v>
      </c>
      <c r="G11" s="72"/>
      <c r="H11" s="72"/>
      <c r="I11" s="72"/>
      <c r="J11" s="40"/>
      <c r="K11" s="72"/>
      <c r="L11" s="72"/>
      <c r="M11" s="53"/>
      <c r="N11" s="43"/>
    </row>
    <row r="12" spans="1:14" x14ac:dyDescent="0.3">
      <c r="A12" s="42" t="s">
        <v>127</v>
      </c>
      <c r="B12" s="72">
        <v>600</v>
      </c>
      <c r="C12" s="72">
        <v>2400</v>
      </c>
      <c r="D12" s="39"/>
      <c r="E12" s="72"/>
      <c r="F12" s="72">
        <f t="shared" si="0"/>
        <v>3000</v>
      </c>
      <c r="G12" s="72"/>
      <c r="H12" s="72"/>
      <c r="I12" s="72"/>
      <c r="J12" s="40"/>
      <c r="K12" s="72"/>
      <c r="L12" s="72"/>
      <c r="M12" s="53"/>
      <c r="N12" s="43"/>
    </row>
    <row r="13" spans="1:14" x14ac:dyDescent="0.3">
      <c r="A13" s="42" t="s">
        <v>93</v>
      </c>
      <c r="B13" s="72">
        <v>9237</v>
      </c>
      <c r="C13" s="72">
        <v>9237</v>
      </c>
      <c r="D13" s="39"/>
      <c r="E13" s="72"/>
      <c r="F13" s="72">
        <v>18473</v>
      </c>
      <c r="G13" s="72"/>
      <c r="H13" s="72"/>
      <c r="I13" s="72"/>
      <c r="J13" s="40"/>
      <c r="K13" s="72"/>
      <c r="L13" s="72"/>
      <c r="M13" s="53"/>
      <c r="N13" s="43"/>
    </row>
    <row r="14" spans="1:14" x14ac:dyDescent="0.3">
      <c r="A14" s="42" t="s">
        <v>128</v>
      </c>
      <c r="B14" s="72">
        <v>50110</v>
      </c>
      <c r="C14" s="72">
        <v>200440</v>
      </c>
      <c r="D14" s="39"/>
      <c r="E14" s="72"/>
      <c r="F14" s="72"/>
      <c r="G14" s="72"/>
      <c r="H14" s="72"/>
      <c r="I14" s="72"/>
      <c r="J14" s="40"/>
      <c r="K14" s="72">
        <f>SUM(B14:C14)</f>
        <v>250550</v>
      </c>
      <c r="L14" s="72"/>
      <c r="M14" s="53"/>
      <c r="N14" s="43"/>
    </row>
    <row r="15" spans="1:14" x14ac:dyDescent="0.3">
      <c r="A15" s="42" t="s">
        <v>129</v>
      </c>
      <c r="B15" s="72">
        <v>10019.200000000001</v>
      </c>
      <c r="C15" s="72">
        <v>40077</v>
      </c>
      <c r="D15" s="39"/>
      <c r="E15" s="72"/>
      <c r="F15" s="72">
        <f>SUM(B15:C15)</f>
        <v>50096.2</v>
      </c>
      <c r="G15" s="72"/>
      <c r="H15" s="72"/>
      <c r="I15" s="72"/>
      <c r="J15" s="40"/>
      <c r="K15" s="72"/>
      <c r="L15" s="72"/>
      <c r="M15" s="53">
        <v>60</v>
      </c>
      <c r="N15" s="43"/>
    </row>
    <row r="16" spans="1:14" x14ac:dyDescent="0.3">
      <c r="A16" s="42" t="s">
        <v>130</v>
      </c>
      <c r="B16" s="72">
        <v>200000</v>
      </c>
      <c r="C16" s="72">
        <v>1200000</v>
      </c>
      <c r="D16" s="39"/>
      <c r="E16" s="72"/>
      <c r="F16" s="72">
        <f>SUM(B16:C16)</f>
        <v>1400000</v>
      </c>
      <c r="G16" s="72"/>
      <c r="H16" s="72"/>
      <c r="I16" s="72"/>
      <c r="J16" s="40"/>
      <c r="K16" s="72"/>
      <c r="L16" s="72"/>
      <c r="M16" s="53">
        <v>154</v>
      </c>
      <c r="N16" s="43"/>
    </row>
    <row r="17" spans="1:14" x14ac:dyDescent="0.3">
      <c r="A17" s="42" t="s">
        <v>131</v>
      </c>
      <c r="B17" s="72"/>
      <c r="C17" s="72">
        <v>730000</v>
      </c>
      <c r="D17" s="39"/>
      <c r="E17" s="72"/>
      <c r="F17" s="72"/>
      <c r="G17" s="72"/>
      <c r="H17" s="72"/>
      <c r="I17" s="72"/>
      <c r="J17" s="40"/>
      <c r="K17" s="72"/>
      <c r="L17" s="72">
        <v>730000</v>
      </c>
      <c r="M17" s="53"/>
      <c r="N17" s="43"/>
    </row>
    <row r="18" spans="1:14" x14ac:dyDescent="0.3">
      <c r="A18" s="42" t="s">
        <v>132</v>
      </c>
      <c r="B18" s="72">
        <v>6939.51</v>
      </c>
      <c r="C18" s="72">
        <v>27758</v>
      </c>
      <c r="D18" s="39"/>
      <c r="E18" s="72"/>
      <c r="F18" s="72">
        <f>SUM(B18:C18)</f>
        <v>34697.51</v>
      </c>
      <c r="G18" s="72"/>
      <c r="H18" s="72"/>
      <c r="I18" s="72"/>
      <c r="J18" s="40"/>
      <c r="K18" s="72"/>
      <c r="L18" s="72"/>
      <c r="M18" s="53"/>
      <c r="N18" s="43"/>
    </row>
    <row r="19" spans="1:14" x14ac:dyDescent="0.3">
      <c r="A19" s="42" t="s">
        <v>133</v>
      </c>
      <c r="B19" s="72"/>
      <c r="C19" s="72">
        <v>15000</v>
      </c>
      <c r="D19" s="39"/>
      <c r="E19" s="72"/>
      <c r="F19" s="72">
        <v>15000</v>
      </c>
      <c r="G19" s="72"/>
      <c r="H19" s="72"/>
      <c r="I19" s="72"/>
      <c r="J19" s="40"/>
      <c r="K19" s="72"/>
      <c r="L19" s="72"/>
      <c r="M19" s="53">
        <v>2</v>
      </c>
      <c r="N19" s="43"/>
    </row>
    <row r="20" spans="1:14" x14ac:dyDescent="0.3">
      <c r="A20" s="42" t="s">
        <v>134</v>
      </c>
      <c r="B20" s="72"/>
      <c r="C20" s="72"/>
      <c r="D20" s="39"/>
      <c r="E20" s="72"/>
      <c r="F20" s="72"/>
      <c r="G20" s="72"/>
      <c r="H20" s="72"/>
      <c r="I20" s="72">
        <v>14566.24</v>
      </c>
      <c r="J20" s="40"/>
      <c r="K20" s="72"/>
      <c r="L20" s="72"/>
      <c r="M20" s="53">
        <v>19</v>
      </c>
      <c r="N20" s="43"/>
    </row>
    <row r="21" spans="1:14" x14ac:dyDescent="0.3">
      <c r="A21" s="42" t="s">
        <v>135</v>
      </c>
      <c r="B21" s="72"/>
      <c r="C21" s="72"/>
      <c r="D21" s="39"/>
      <c r="E21" s="72"/>
      <c r="F21" s="72"/>
      <c r="G21" s="72"/>
      <c r="H21" s="72"/>
      <c r="I21" s="72">
        <v>73169</v>
      </c>
      <c r="J21" s="40"/>
      <c r="K21" s="72"/>
      <c r="L21" s="72"/>
      <c r="M21" s="53">
        <v>13</v>
      </c>
      <c r="N21" s="43"/>
    </row>
    <row r="22" spans="1:14" x14ac:dyDescent="0.3">
      <c r="A22" s="42" t="s">
        <v>109</v>
      </c>
      <c r="B22" s="72">
        <v>9000</v>
      </c>
      <c r="C22" s="72">
        <f>24000+12000</f>
        <v>36000</v>
      </c>
      <c r="D22" s="39"/>
      <c r="E22" s="72"/>
      <c r="F22" s="72">
        <f>12000+3000</f>
        <v>15000</v>
      </c>
      <c r="G22" s="72">
        <f>24000+6000</f>
        <v>30000</v>
      </c>
      <c r="H22" s="72"/>
      <c r="I22" s="72"/>
      <c r="J22" s="40"/>
      <c r="K22" s="72"/>
      <c r="L22" s="72"/>
      <c r="M22" s="53">
        <v>5</v>
      </c>
      <c r="N22" s="43"/>
    </row>
    <row r="23" spans="1:14" x14ac:dyDescent="0.3">
      <c r="A23" s="42" t="s">
        <v>136</v>
      </c>
      <c r="B23" s="72">
        <v>8000</v>
      </c>
      <c r="C23" s="72">
        <v>32000</v>
      </c>
      <c r="D23" s="39"/>
      <c r="E23" s="72"/>
      <c r="F23" s="72">
        <f>32000+8000</f>
        <v>40000</v>
      </c>
      <c r="G23" s="72"/>
      <c r="H23" s="72"/>
      <c r="I23" s="72"/>
      <c r="J23" s="40"/>
      <c r="K23" s="72"/>
      <c r="L23" s="72"/>
      <c r="M23" s="53">
        <v>1</v>
      </c>
      <c r="N23" s="43"/>
    </row>
    <row r="24" spans="1:14" x14ac:dyDescent="0.3">
      <c r="A24" s="42" t="s">
        <v>137</v>
      </c>
      <c r="B24" s="72">
        <v>2400</v>
      </c>
      <c r="C24" s="72">
        <v>9600</v>
      </c>
      <c r="D24" s="39"/>
      <c r="E24" s="72"/>
      <c r="F24" s="72">
        <f>SUM(B24:C24)</f>
        <v>12000</v>
      </c>
      <c r="G24" s="72"/>
      <c r="H24" s="72"/>
      <c r="I24" s="72"/>
      <c r="J24" s="40"/>
      <c r="K24" s="72"/>
      <c r="L24" s="72"/>
      <c r="M24" s="53">
        <v>1</v>
      </c>
      <c r="N24" s="43"/>
    </row>
    <row r="25" spans="1:14" x14ac:dyDescent="0.3">
      <c r="A25" s="42" t="s">
        <v>138</v>
      </c>
      <c r="B25" s="72">
        <v>1000</v>
      </c>
      <c r="C25" s="72">
        <v>4000</v>
      </c>
      <c r="D25" s="39"/>
      <c r="E25" s="72"/>
      <c r="F25" s="72">
        <f>SUM(B25:C25)</f>
        <v>5000</v>
      </c>
      <c r="G25" s="72"/>
      <c r="H25" s="72"/>
      <c r="I25" s="72"/>
      <c r="J25" s="40"/>
      <c r="K25" s="72"/>
      <c r="L25" s="72"/>
      <c r="M25" s="53"/>
      <c r="N25" s="53"/>
    </row>
    <row r="26" spans="1:14" x14ac:dyDescent="0.3">
      <c r="A26" s="42" t="s">
        <v>29</v>
      </c>
      <c r="B26" s="72"/>
      <c r="C26" s="72">
        <v>279996</v>
      </c>
      <c r="D26" s="39"/>
      <c r="E26" s="72"/>
      <c r="F26" s="72"/>
      <c r="G26" s="72"/>
      <c r="H26" s="72"/>
      <c r="I26" s="72"/>
      <c r="J26" s="40"/>
      <c r="K26" s="72"/>
      <c r="L26" s="72">
        <v>279996</v>
      </c>
      <c r="M26" s="53"/>
      <c r="N26" s="43"/>
    </row>
    <row r="27" spans="1:14" x14ac:dyDescent="0.3">
      <c r="A27" s="43" t="s">
        <v>139</v>
      </c>
      <c r="B27" s="72">
        <v>65682</v>
      </c>
      <c r="C27" s="72">
        <v>262726</v>
      </c>
      <c r="D27" s="39"/>
      <c r="E27" s="72"/>
      <c r="F27" s="72">
        <v>78408</v>
      </c>
      <c r="G27" s="72">
        <v>205000</v>
      </c>
      <c r="H27" s="72"/>
      <c r="I27" s="72">
        <v>45000</v>
      </c>
      <c r="J27" s="40"/>
      <c r="K27" s="72"/>
      <c r="L27" s="72"/>
      <c r="M27" s="53">
        <v>9</v>
      </c>
      <c r="N27" s="43">
        <v>43</v>
      </c>
    </row>
    <row r="28" spans="1:14" ht="15" thickBot="1" x14ac:dyDescent="0.35">
      <c r="A28" s="44" t="s">
        <v>31</v>
      </c>
      <c r="B28" s="73">
        <f>SUM(B3:B27)</f>
        <v>639573.64</v>
      </c>
      <c r="C28" s="73">
        <f>SUM(C3:C27)</f>
        <v>3709654.9699999997</v>
      </c>
      <c r="D28" s="46"/>
      <c r="E28" s="73">
        <f>SUM(E3:E27)</f>
        <v>200000</v>
      </c>
      <c r="F28" s="73">
        <f>SUM(F3:F27)</f>
        <v>2018164.67</v>
      </c>
      <c r="G28" s="73">
        <f>SUM(G3:G27)</f>
        <v>385000</v>
      </c>
      <c r="H28" s="73">
        <f>SUM(H3:H27)</f>
        <v>20000</v>
      </c>
      <c r="I28" s="73">
        <f>SUM(I3:I27)</f>
        <v>153085.24</v>
      </c>
      <c r="J28" s="73"/>
      <c r="K28" s="73">
        <f>SUM(K3:K27)</f>
        <v>250550</v>
      </c>
      <c r="L28" s="73">
        <f>SUM(L3:L27)</f>
        <v>1410162.94</v>
      </c>
      <c r="M28" s="74">
        <f>SUM(M3:M27)</f>
        <v>303</v>
      </c>
      <c r="N28" s="74"/>
    </row>
    <row r="29" spans="1:14" ht="15" thickTop="1" x14ac:dyDescent="0.3">
      <c r="A29" s="48"/>
      <c r="B29" s="62"/>
      <c r="C29" s="62"/>
      <c r="D29" s="50"/>
      <c r="E29" s="62"/>
      <c r="F29" s="62"/>
      <c r="G29" s="62"/>
      <c r="H29" s="62"/>
      <c r="I29" s="62"/>
      <c r="J29" s="51"/>
      <c r="K29" s="62"/>
      <c r="L29" s="62"/>
      <c r="M29" s="52"/>
      <c r="N29" s="75"/>
    </row>
    <row r="30" spans="1:14" x14ac:dyDescent="0.3">
      <c r="A30" s="42" t="s">
        <v>33</v>
      </c>
      <c r="B30" s="72">
        <f>SUM(B28:C28)</f>
        <v>4349228.6099999994</v>
      </c>
      <c r="C30" s="72"/>
      <c r="D30" s="50"/>
      <c r="E30" s="72"/>
      <c r="F30" s="72"/>
      <c r="G30" s="72"/>
      <c r="H30" s="72"/>
      <c r="I30" s="72"/>
      <c r="J30" s="40"/>
      <c r="K30" s="72"/>
      <c r="L30" s="72"/>
      <c r="M30" s="53"/>
      <c r="N30" s="43"/>
    </row>
    <row r="31" spans="1:14" x14ac:dyDescent="0.3">
      <c r="A31" s="42" t="s">
        <v>115</v>
      </c>
      <c r="B31" s="76"/>
      <c r="C31" s="76"/>
      <c r="D31" s="70"/>
      <c r="E31" s="76"/>
      <c r="F31" s="76"/>
      <c r="G31" s="76"/>
      <c r="H31" s="77"/>
      <c r="I31" s="76"/>
      <c r="J31" s="43"/>
      <c r="K31" s="76"/>
      <c r="L31" s="76"/>
      <c r="M31" s="53"/>
      <c r="N31" s="43"/>
    </row>
    <row r="32" spans="1:14" x14ac:dyDescent="0.3">
      <c r="A32" s="42" t="s">
        <v>140</v>
      </c>
      <c r="B32" s="76"/>
      <c r="C32" s="76"/>
      <c r="D32" s="70"/>
      <c r="E32" s="76"/>
      <c r="F32" s="76"/>
      <c r="G32" s="76"/>
      <c r="H32" s="77"/>
      <c r="I32" s="76"/>
      <c r="J32" s="43"/>
      <c r="K32" s="76"/>
      <c r="L32" s="76"/>
      <c r="M32" s="53"/>
      <c r="N32" s="43"/>
    </row>
    <row r="33" spans="1:14" x14ac:dyDescent="0.3">
      <c r="A33" s="42" t="s">
        <v>141</v>
      </c>
      <c r="B33" s="76"/>
      <c r="C33" s="76"/>
      <c r="D33" s="70"/>
      <c r="E33" s="76"/>
      <c r="F33" s="76"/>
      <c r="G33" s="76"/>
      <c r="H33" s="77"/>
      <c r="I33" s="76"/>
      <c r="J33" s="43"/>
      <c r="K33" s="76"/>
      <c r="L33" s="76"/>
      <c r="M33" s="53"/>
      <c r="N33" s="43"/>
    </row>
    <row r="34" spans="1:14" x14ac:dyDescent="0.3">
      <c r="A34" s="78" t="s">
        <v>142</v>
      </c>
      <c r="B34" s="76"/>
      <c r="C34" s="76"/>
      <c r="D34" s="70"/>
      <c r="E34" s="76"/>
      <c r="F34" s="76"/>
      <c r="G34" s="76"/>
      <c r="H34" s="77"/>
      <c r="I34" s="76"/>
      <c r="J34" s="43"/>
      <c r="K34" s="76"/>
      <c r="L34" s="76"/>
      <c r="M34" s="53"/>
      <c r="N34" s="43"/>
    </row>
    <row r="35" spans="1:14" x14ac:dyDescent="0.3">
      <c r="A35" s="78" t="s">
        <v>143</v>
      </c>
      <c r="B35" s="76"/>
      <c r="C35" s="76"/>
      <c r="D35" s="70"/>
      <c r="E35" s="76"/>
      <c r="F35" s="76"/>
      <c r="G35" s="76"/>
      <c r="H35" s="77"/>
      <c r="I35" s="76"/>
      <c r="J35" s="43"/>
      <c r="K35" s="76"/>
      <c r="L35" s="76"/>
      <c r="M35" s="53"/>
      <c r="N35" s="43"/>
    </row>
    <row r="36" spans="1:14" x14ac:dyDescent="0.3">
      <c r="A36" s="78" t="s">
        <v>144</v>
      </c>
      <c r="B36" s="76"/>
      <c r="C36" s="76"/>
      <c r="D36" s="70"/>
      <c r="E36" s="76"/>
      <c r="F36" s="76"/>
      <c r="G36" s="76"/>
      <c r="H36" s="77"/>
      <c r="I36" s="76"/>
      <c r="J36" s="43"/>
      <c r="K36" s="76"/>
      <c r="L36" s="76"/>
      <c r="M36" s="53"/>
      <c r="N36" s="43"/>
    </row>
  </sheetData>
  <pageMargins left="0.7" right="0.7" top="0.75" bottom="0.75" header="0.3" footer="0.3"/>
  <pageSetup scale="56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0"/>
  <sheetViews>
    <sheetView workbookViewId="0">
      <selection activeCell="B24" sqref="B24"/>
    </sheetView>
  </sheetViews>
  <sheetFormatPr defaultRowHeight="14.4" x14ac:dyDescent="0.3"/>
  <cols>
    <col min="1" max="1" width="34.33203125" customWidth="1"/>
    <col min="2" max="2" width="11.44140625" customWidth="1"/>
    <col min="3" max="3" width="13.88671875" customWidth="1"/>
    <col min="5" max="5" width="12.109375" customWidth="1"/>
    <col min="6" max="6" width="14.44140625" customWidth="1"/>
    <col min="7" max="7" width="14.33203125" customWidth="1"/>
    <col min="12" max="12" width="12.6640625" customWidth="1"/>
    <col min="14" max="14" width="15.33203125" customWidth="1"/>
  </cols>
  <sheetData>
    <row r="1" spans="1:14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4" x14ac:dyDescent="0.3">
      <c r="A2" s="34" t="s">
        <v>145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79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  <c r="N2" s="71" t="s">
        <v>118</v>
      </c>
    </row>
    <row r="3" spans="1:14" x14ac:dyDescent="0.3">
      <c r="A3" t="s">
        <v>146</v>
      </c>
      <c r="B3" s="80">
        <v>40000</v>
      </c>
      <c r="C3" s="81">
        <v>160000</v>
      </c>
      <c r="D3" s="39"/>
      <c r="E3" s="80">
        <f>160000+40000</f>
        <v>200000</v>
      </c>
      <c r="F3" s="80"/>
      <c r="G3" s="80"/>
      <c r="H3" s="54"/>
      <c r="I3" s="54"/>
      <c r="J3" s="54"/>
      <c r="K3" s="80"/>
      <c r="L3" s="80"/>
    </row>
    <row r="4" spans="1:14" x14ac:dyDescent="0.3">
      <c r="A4" t="s">
        <v>147</v>
      </c>
      <c r="B4" s="80">
        <v>15000</v>
      </c>
      <c r="C4" s="81">
        <v>60000</v>
      </c>
      <c r="D4" s="39"/>
      <c r="E4" s="81"/>
      <c r="F4" s="80">
        <f>60000+15000</f>
        <v>75000</v>
      </c>
      <c r="G4" s="80"/>
      <c r="H4" s="54"/>
      <c r="I4" s="54"/>
      <c r="J4" s="54"/>
      <c r="K4" s="80"/>
      <c r="L4" s="80"/>
    </row>
    <row r="5" spans="1:14" x14ac:dyDescent="0.3">
      <c r="A5" s="63" t="s">
        <v>123</v>
      </c>
      <c r="B5" s="80">
        <v>20416.66</v>
      </c>
      <c r="C5" s="81">
        <v>81667</v>
      </c>
      <c r="D5" s="39"/>
      <c r="E5" s="81"/>
      <c r="F5" s="80">
        <f>81667+20416.66</f>
        <v>102083.66</v>
      </c>
      <c r="G5" s="80"/>
      <c r="H5" s="54"/>
      <c r="I5" s="54"/>
      <c r="J5" s="54"/>
      <c r="K5" s="80"/>
      <c r="L5" s="80"/>
      <c r="M5">
        <v>18</v>
      </c>
    </row>
    <row r="6" spans="1:14" x14ac:dyDescent="0.3">
      <c r="A6" s="63" t="s">
        <v>126</v>
      </c>
      <c r="B6" s="80">
        <v>10000</v>
      </c>
      <c r="C6" s="81">
        <v>10000</v>
      </c>
      <c r="D6" s="39"/>
      <c r="E6" s="81"/>
      <c r="F6" s="80">
        <f>10000+10000</f>
        <v>20000</v>
      </c>
      <c r="G6" s="80"/>
      <c r="H6" s="54"/>
      <c r="I6" s="54"/>
      <c r="J6" s="54"/>
      <c r="K6" s="80"/>
      <c r="L6" s="80"/>
    </row>
    <row r="7" spans="1:14" x14ac:dyDescent="0.3">
      <c r="A7" s="63" t="s">
        <v>148</v>
      </c>
      <c r="B7" s="80">
        <v>32000</v>
      </c>
      <c r="C7" s="81">
        <f>5000+3000</f>
        <v>8000</v>
      </c>
      <c r="D7" s="39"/>
      <c r="E7" s="81"/>
      <c r="F7" s="80"/>
      <c r="G7" s="80">
        <f>5000+3000+32000</f>
        <v>40000</v>
      </c>
      <c r="H7" s="54"/>
      <c r="I7" s="54"/>
      <c r="J7" s="54"/>
      <c r="K7" s="80"/>
      <c r="L7" s="80"/>
    </row>
    <row r="8" spans="1:14" x14ac:dyDescent="0.3">
      <c r="A8" s="63" t="s">
        <v>149</v>
      </c>
      <c r="B8" s="82">
        <v>9817.68</v>
      </c>
      <c r="C8" s="83">
        <v>39271</v>
      </c>
      <c r="D8" s="39"/>
      <c r="E8" s="81"/>
      <c r="F8" s="82">
        <v>7500</v>
      </c>
      <c r="G8" s="82">
        <f>SUM(B8:C8)</f>
        <v>49088.68</v>
      </c>
      <c r="H8" s="54"/>
      <c r="I8" s="54"/>
      <c r="J8" s="54"/>
      <c r="K8" s="80"/>
      <c r="L8" s="80"/>
      <c r="M8">
        <v>2</v>
      </c>
      <c r="N8">
        <v>8</v>
      </c>
    </row>
    <row r="9" spans="1:14" x14ac:dyDescent="0.3">
      <c r="A9" t="s">
        <v>150</v>
      </c>
      <c r="B9" s="80">
        <v>2292.6</v>
      </c>
      <c r="C9" s="81">
        <v>9170</v>
      </c>
      <c r="D9" s="39"/>
      <c r="E9" s="81"/>
      <c r="F9" s="80">
        <f>9170+2292.6</f>
        <v>11462.6</v>
      </c>
      <c r="G9" s="80"/>
      <c r="H9" s="54"/>
      <c r="I9" s="54"/>
      <c r="J9" s="54"/>
      <c r="K9" s="80"/>
      <c r="L9" s="80"/>
    </row>
    <row r="10" spans="1:14" x14ac:dyDescent="0.3">
      <c r="A10" s="63" t="s">
        <v>151</v>
      </c>
      <c r="B10" s="80">
        <f>28460+10000</f>
        <v>38460</v>
      </c>
      <c r="C10" s="81">
        <v>153840</v>
      </c>
      <c r="D10" s="39"/>
      <c r="E10" s="81"/>
      <c r="F10" s="80">
        <v>192300</v>
      </c>
      <c r="G10" s="80"/>
      <c r="H10" s="54"/>
      <c r="I10" s="54"/>
      <c r="J10" s="54"/>
      <c r="K10" s="80"/>
      <c r="L10" s="80"/>
    </row>
    <row r="11" spans="1:14" x14ac:dyDescent="0.3">
      <c r="A11" s="63" t="s">
        <v>152</v>
      </c>
      <c r="B11" s="80">
        <v>8980.7999999999993</v>
      </c>
      <c r="C11" s="81">
        <v>35923</v>
      </c>
      <c r="D11" s="39"/>
      <c r="E11" s="81"/>
      <c r="F11" s="80">
        <v>44903.8</v>
      </c>
      <c r="G11" s="80"/>
      <c r="H11" s="54"/>
      <c r="I11" s="54"/>
      <c r="J11" s="54"/>
      <c r="K11" s="80"/>
      <c r="L11" s="80"/>
      <c r="M11">
        <v>60</v>
      </c>
    </row>
    <row r="12" spans="1:14" x14ac:dyDescent="0.3">
      <c r="A12" s="63" t="s">
        <v>153</v>
      </c>
      <c r="B12" s="80">
        <v>2000</v>
      </c>
      <c r="C12" s="81">
        <v>8000</v>
      </c>
      <c r="D12" s="39"/>
      <c r="E12" s="81"/>
      <c r="F12" s="80"/>
      <c r="G12" s="80"/>
      <c r="H12" s="54"/>
      <c r="I12" s="54"/>
      <c r="J12" s="54"/>
      <c r="K12" s="80">
        <v>10000</v>
      </c>
      <c r="L12" s="80"/>
    </row>
    <row r="13" spans="1:14" x14ac:dyDescent="0.3">
      <c r="A13" s="63" t="s">
        <v>154</v>
      </c>
      <c r="B13" s="80">
        <v>9000</v>
      </c>
      <c r="C13" s="81">
        <f>250+2000</f>
        <v>2250</v>
      </c>
      <c r="D13" s="39"/>
      <c r="E13" s="81"/>
      <c r="F13" s="80">
        <v>11250</v>
      </c>
      <c r="G13" s="80">
        <v>0</v>
      </c>
      <c r="H13" s="54"/>
      <c r="I13" s="54"/>
      <c r="J13" s="54"/>
      <c r="K13" s="80"/>
      <c r="L13" s="80"/>
      <c r="M13">
        <v>19</v>
      </c>
    </row>
    <row r="14" spans="1:14" x14ac:dyDescent="0.3">
      <c r="A14" s="63" t="s">
        <v>155</v>
      </c>
      <c r="B14" s="80"/>
      <c r="C14" s="81">
        <v>2022</v>
      </c>
      <c r="D14" s="39"/>
      <c r="E14" s="81"/>
      <c r="F14" s="80">
        <v>2022</v>
      </c>
      <c r="G14" s="80"/>
      <c r="H14" s="54"/>
      <c r="I14" s="54"/>
      <c r="J14" s="54"/>
      <c r="K14" s="80"/>
      <c r="L14" s="80"/>
    </row>
    <row r="15" spans="1:14" x14ac:dyDescent="0.3">
      <c r="A15" t="s">
        <v>156</v>
      </c>
      <c r="B15" s="80"/>
      <c r="C15" s="81">
        <v>75000</v>
      </c>
      <c r="D15" s="39"/>
      <c r="E15" s="81"/>
      <c r="F15" s="80"/>
      <c r="G15" s="80">
        <v>75000</v>
      </c>
      <c r="H15" s="54"/>
      <c r="I15" s="54"/>
      <c r="J15" s="54"/>
      <c r="K15" s="80"/>
      <c r="L15" s="80"/>
    </row>
    <row r="16" spans="1:14" x14ac:dyDescent="0.3">
      <c r="A16" s="63" t="s">
        <v>157</v>
      </c>
      <c r="B16" s="80">
        <v>1000</v>
      </c>
      <c r="C16" s="81">
        <v>4000</v>
      </c>
      <c r="D16" s="39"/>
      <c r="E16" s="81"/>
      <c r="F16" s="80">
        <f>4000+1000</f>
        <v>5000</v>
      </c>
      <c r="G16" s="80"/>
      <c r="H16" s="54"/>
      <c r="I16" s="54"/>
      <c r="J16" s="54"/>
      <c r="K16" s="80"/>
      <c r="L16" s="80"/>
      <c r="M16">
        <v>1</v>
      </c>
    </row>
    <row r="17" spans="1:14" x14ac:dyDescent="0.3">
      <c r="A17" s="63" t="s">
        <v>158</v>
      </c>
      <c r="B17" s="82"/>
      <c r="C17" s="83">
        <v>9000</v>
      </c>
      <c r="D17" s="39"/>
      <c r="E17" s="83"/>
      <c r="F17" s="82">
        <v>9000</v>
      </c>
      <c r="G17" s="82"/>
      <c r="H17" s="84"/>
      <c r="I17" s="84"/>
      <c r="J17" s="84"/>
      <c r="K17" s="82"/>
      <c r="L17" s="82"/>
      <c r="M17" s="63">
        <v>1</v>
      </c>
      <c r="N17" s="63"/>
    </row>
    <row r="18" spans="1:14" x14ac:dyDescent="0.3">
      <c r="A18" s="63" t="s">
        <v>29</v>
      </c>
      <c r="B18" s="80"/>
      <c r="C18" s="81">
        <v>279996</v>
      </c>
      <c r="D18" s="39"/>
      <c r="E18" s="81"/>
      <c r="F18" s="80"/>
      <c r="G18" s="80"/>
      <c r="H18" s="54"/>
      <c r="I18" s="54"/>
      <c r="J18" s="54"/>
      <c r="K18" s="80"/>
      <c r="L18" s="80">
        <v>279996</v>
      </c>
    </row>
    <row r="19" spans="1:14" x14ac:dyDescent="0.3">
      <c r="A19" s="63" t="s">
        <v>159</v>
      </c>
      <c r="B19" s="80">
        <f>10175.78+30000</f>
        <v>40175.78</v>
      </c>
      <c r="C19" s="81">
        <f>38874+120000</f>
        <v>158874</v>
      </c>
      <c r="D19" s="39"/>
      <c r="E19" s="81"/>
      <c r="F19" s="80">
        <v>38874</v>
      </c>
      <c r="G19" s="80">
        <f>120000+10175.78+30000</f>
        <v>160175.78</v>
      </c>
      <c r="H19" s="54"/>
      <c r="I19" s="54"/>
      <c r="J19" s="54"/>
      <c r="K19" s="80"/>
      <c r="L19" s="80"/>
      <c r="M19">
        <v>6</v>
      </c>
      <c r="N19">
        <v>43</v>
      </c>
    </row>
    <row r="20" spans="1:14" x14ac:dyDescent="0.3">
      <c r="A20" s="63" t="s">
        <v>160</v>
      </c>
      <c r="B20" s="80"/>
      <c r="C20" s="81">
        <v>10000</v>
      </c>
      <c r="D20" s="39"/>
      <c r="E20" s="81"/>
      <c r="F20" s="80">
        <v>10000</v>
      </c>
      <c r="G20" s="80"/>
      <c r="H20" s="54"/>
      <c r="I20" s="54"/>
      <c r="J20" s="54"/>
      <c r="K20" s="80"/>
      <c r="L20" s="80"/>
    </row>
    <row r="21" spans="1:14" x14ac:dyDescent="0.3">
      <c r="A21" s="63" t="s">
        <v>161</v>
      </c>
      <c r="B21" s="80">
        <v>8000</v>
      </c>
      <c r="C21" s="81">
        <v>2000</v>
      </c>
      <c r="D21" s="39"/>
      <c r="E21" s="81"/>
      <c r="F21" s="80">
        <f>2000+8000</f>
        <v>10000</v>
      </c>
      <c r="G21" s="80"/>
      <c r="H21" s="54"/>
      <c r="I21" s="54"/>
      <c r="J21" s="54"/>
      <c r="K21" s="80"/>
      <c r="L21" s="80"/>
    </row>
    <row r="22" spans="1:14" ht="15" thickBot="1" x14ac:dyDescent="0.35">
      <c r="A22" s="85" t="s">
        <v>31</v>
      </c>
      <c r="B22" s="86">
        <f>SUM(B3:B21)</f>
        <v>237143.52</v>
      </c>
      <c r="C22" s="86">
        <f>SUM(C3:C21)</f>
        <v>1109013</v>
      </c>
      <c r="D22" s="46"/>
      <c r="E22" s="87">
        <f>SUM(E3:E21)</f>
        <v>200000</v>
      </c>
      <c r="F22" s="86">
        <f>SUM(F3:F21)</f>
        <v>539396.06000000006</v>
      </c>
      <c r="G22" s="86">
        <f>SUM(G3:G21)</f>
        <v>324264.45999999996</v>
      </c>
      <c r="H22" s="86"/>
      <c r="I22" s="86"/>
      <c r="J22" s="86"/>
      <c r="K22" s="86">
        <f>SUM(K3:K21)</f>
        <v>10000</v>
      </c>
      <c r="L22" s="86">
        <f>SUM(L3:L21)</f>
        <v>279996</v>
      </c>
      <c r="M22" s="85">
        <f>SUM(M3:M21)</f>
        <v>107</v>
      </c>
      <c r="N22" s="85">
        <f>SUM(N3:N21)</f>
        <v>51</v>
      </c>
    </row>
    <row r="23" spans="1:14" ht="15" thickTop="1" x14ac:dyDescent="0.3">
      <c r="B23" s="80"/>
      <c r="C23" s="80"/>
      <c r="D23" s="88"/>
      <c r="E23" s="80"/>
      <c r="F23" s="80"/>
      <c r="G23" s="80"/>
      <c r="H23" s="54"/>
      <c r="I23" s="54"/>
      <c r="J23" s="54"/>
      <c r="K23" s="80"/>
      <c r="L23" s="80"/>
    </row>
    <row r="24" spans="1:14" x14ac:dyDescent="0.3">
      <c r="A24" t="s">
        <v>162</v>
      </c>
      <c r="B24" s="80">
        <f>SUM(B22:C22)</f>
        <v>1346156.52</v>
      </c>
      <c r="C24" s="80"/>
      <c r="D24" s="88"/>
      <c r="E24" s="82"/>
      <c r="F24" s="80"/>
      <c r="G24" s="80"/>
      <c r="H24" s="54"/>
      <c r="I24" s="54"/>
      <c r="J24" s="54"/>
      <c r="K24" s="80"/>
      <c r="L24" s="80"/>
    </row>
    <row r="25" spans="1:14" x14ac:dyDescent="0.3">
      <c r="A25" t="s">
        <v>163</v>
      </c>
      <c r="B25" s="89"/>
      <c r="C25" s="89"/>
      <c r="D25" s="88"/>
      <c r="E25" s="89"/>
      <c r="F25" s="89"/>
      <c r="G25" s="89"/>
      <c r="K25" s="89"/>
      <c r="L25" s="89"/>
    </row>
    <row r="26" spans="1:14" x14ac:dyDescent="0.3">
      <c r="A26" t="s">
        <v>141</v>
      </c>
      <c r="B26" s="89"/>
      <c r="C26" s="89"/>
      <c r="D26" s="88"/>
      <c r="E26" s="89"/>
      <c r="F26" s="89"/>
      <c r="J26" s="89"/>
      <c r="K26" s="89"/>
    </row>
    <row r="27" spans="1:14" x14ac:dyDescent="0.3">
      <c r="A27" s="90" t="s">
        <v>164</v>
      </c>
      <c r="B27" s="89"/>
      <c r="C27" s="89"/>
      <c r="D27" s="88"/>
      <c r="E27" s="89"/>
      <c r="F27" s="89"/>
      <c r="J27" s="89"/>
      <c r="K27" s="89"/>
    </row>
    <row r="28" spans="1:14" x14ac:dyDescent="0.3">
      <c r="A28" s="90" t="s">
        <v>165</v>
      </c>
      <c r="B28" s="89"/>
      <c r="C28" s="89"/>
      <c r="D28" s="88"/>
      <c r="E28" s="89"/>
      <c r="F28" s="89"/>
      <c r="J28" s="89"/>
      <c r="K28" s="89"/>
    </row>
    <row r="29" spans="1:14" x14ac:dyDescent="0.3">
      <c r="A29" s="91" t="s">
        <v>166</v>
      </c>
      <c r="B29" s="89"/>
      <c r="C29" s="89"/>
      <c r="D29" s="50"/>
      <c r="E29" s="89"/>
      <c r="F29" s="89"/>
      <c r="J29" s="89"/>
      <c r="K29" s="89"/>
    </row>
    <row r="30" spans="1:14" x14ac:dyDescent="0.3">
      <c r="B30" s="89"/>
      <c r="C30" s="89"/>
      <c r="D30" s="50"/>
      <c r="E30" s="89"/>
      <c r="F30" s="89"/>
      <c r="J30" s="89"/>
      <c r="K30" s="89"/>
    </row>
  </sheetData>
  <pageMargins left="0.7" right="0.7" top="0.75" bottom="0.75" header="0.3" footer="0.3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F0C5-FE2D-47FE-8FC1-3F355F629B39}">
  <sheetPr>
    <pageSetUpPr fitToPage="1"/>
  </sheetPr>
  <dimension ref="A1:O52"/>
  <sheetViews>
    <sheetView workbookViewId="0">
      <selection activeCell="A22" sqref="A22"/>
    </sheetView>
  </sheetViews>
  <sheetFormatPr defaultRowHeight="14.4" x14ac:dyDescent="0.3"/>
  <cols>
    <col min="1" max="1" width="41.109375" style="141" customWidth="1"/>
    <col min="2" max="3" width="12.6640625" style="141" bestFit="1" customWidth="1"/>
    <col min="4" max="4" width="12" style="141" customWidth="1"/>
    <col min="5" max="5" width="12.109375" style="141" bestFit="1" customWidth="1"/>
    <col min="6" max="7" width="8.88671875" style="141"/>
    <col min="8" max="8" width="12.109375" style="141" bestFit="1" customWidth="1"/>
    <col min="9" max="9" width="9.77734375" style="141" customWidth="1"/>
    <col min="10" max="10" width="8.88671875" style="141"/>
    <col min="11" max="11" width="12.6640625" style="141" bestFit="1" customWidth="1"/>
    <col min="12" max="12" width="12.88671875" style="141" bestFit="1" customWidth="1"/>
    <col min="13" max="13" width="8.88671875" style="141"/>
    <col min="14" max="14" width="13.88671875" style="141" bestFit="1" customWidth="1"/>
    <col min="15" max="15" width="14.88671875" style="141" bestFit="1" customWidth="1"/>
    <col min="16" max="16384" width="8.88671875" style="141"/>
  </cols>
  <sheetData>
    <row r="1" spans="1:15" ht="15" thickBot="1" x14ac:dyDescent="0.35">
      <c r="A1" s="434" t="s">
        <v>478</v>
      </c>
      <c r="B1" s="434"/>
      <c r="C1" s="434"/>
      <c r="D1" s="434" t="s">
        <v>475</v>
      </c>
      <c r="E1" s="434"/>
      <c r="F1" s="434"/>
      <c r="G1" s="434"/>
      <c r="H1" s="434"/>
      <c r="I1" s="434"/>
      <c r="J1" s="434"/>
      <c r="K1" s="434"/>
      <c r="L1" s="434"/>
      <c r="M1" s="434"/>
      <c r="N1" s="435" t="s">
        <v>476</v>
      </c>
      <c r="O1" s="435"/>
    </row>
    <row r="2" spans="1:15" ht="58.2" thickBot="1" x14ac:dyDescent="0.35">
      <c r="A2" s="410" t="s">
        <v>479</v>
      </c>
      <c r="B2" s="178" t="s">
        <v>3</v>
      </c>
      <c r="C2" s="407" t="s">
        <v>4</v>
      </c>
      <c r="D2" s="405" t="s">
        <v>5</v>
      </c>
      <c r="E2" s="359" t="s">
        <v>6</v>
      </c>
      <c r="F2" s="360" t="s">
        <v>341</v>
      </c>
      <c r="G2" s="359" t="s">
        <v>7</v>
      </c>
      <c r="H2" s="360" t="s">
        <v>355</v>
      </c>
      <c r="I2" s="359" t="s">
        <v>8</v>
      </c>
      <c r="J2" s="359" t="s">
        <v>9</v>
      </c>
      <c r="K2" s="360" t="s">
        <v>343</v>
      </c>
      <c r="L2" s="359" t="s">
        <v>11</v>
      </c>
      <c r="M2" s="408" t="s">
        <v>12</v>
      </c>
      <c r="N2" s="409" t="s">
        <v>477</v>
      </c>
      <c r="O2" s="418" t="s">
        <v>353</v>
      </c>
    </row>
    <row r="3" spans="1:15" x14ac:dyDescent="0.3">
      <c r="A3" s="411" t="s">
        <v>352</v>
      </c>
      <c r="B3" s="368">
        <v>96600</v>
      </c>
      <c r="C3" s="406">
        <v>387000</v>
      </c>
      <c r="D3" s="402">
        <f>SUM(B3,C3)</f>
        <v>483600</v>
      </c>
      <c r="E3" s="368"/>
      <c r="F3" s="368"/>
      <c r="G3" s="368"/>
      <c r="H3" s="368"/>
      <c r="I3" s="368"/>
      <c r="J3" s="368"/>
      <c r="K3" s="368"/>
      <c r="L3" s="368"/>
      <c r="M3" s="378">
        <v>4</v>
      </c>
      <c r="N3" s="402">
        <v>310000</v>
      </c>
      <c r="O3" s="419"/>
    </row>
    <row r="4" spans="1:15" x14ac:dyDescent="0.3">
      <c r="A4" s="412" t="s">
        <v>472</v>
      </c>
      <c r="B4" s="368">
        <f>L4*0.1</f>
        <v>2640</v>
      </c>
      <c r="C4" s="369">
        <f>L4*0.9</f>
        <v>23760</v>
      </c>
      <c r="D4" s="403"/>
      <c r="E4" s="400"/>
      <c r="F4" s="400"/>
      <c r="G4" s="400"/>
      <c r="H4" s="400"/>
      <c r="I4" s="400"/>
      <c r="J4" s="400"/>
      <c r="K4" s="400"/>
      <c r="L4" s="400">
        <v>26400</v>
      </c>
      <c r="M4" s="378"/>
      <c r="N4" s="420"/>
      <c r="O4" s="421"/>
    </row>
    <row r="5" spans="1:15" x14ac:dyDescent="0.3">
      <c r="A5" s="413" t="s">
        <v>457</v>
      </c>
      <c r="B5" s="368">
        <f>H5*0.2</f>
        <v>17200</v>
      </c>
      <c r="C5" s="369">
        <f>H5*0.8</f>
        <v>68800</v>
      </c>
      <c r="D5" s="402"/>
      <c r="E5" s="368"/>
      <c r="F5" s="368"/>
      <c r="G5" s="368"/>
      <c r="H5" s="368">
        <v>86000</v>
      </c>
      <c r="I5" s="368"/>
      <c r="J5" s="368"/>
      <c r="K5" s="368"/>
      <c r="L5" s="368"/>
      <c r="M5" s="378"/>
      <c r="N5" s="422">
        <v>70000</v>
      </c>
      <c r="O5" s="423">
        <v>144000</v>
      </c>
    </row>
    <row r="6" spans="1:15" x14ac:dyDescent="0.3">
      <c r="A6" s="413" t="s">
        <v>458</v>
      </c>
      <c r="B6" s="368">
        <v>5000</v>
      </c>
      <c r="C6" s="369">
        <v>20000</v>
      </c>
      <c r="D6" s="402"/>
      <c r="E6" s="368">
        <v>25000</v>
      </c>
      <c r="F6" s="368"/>
      <c r="G6" s="368"/>
      <c r="H6" s="368"/>
      <c r="I6" s="368"/>
      <c r="J6" s="368"/>
      <c r="K6" s="368"/>
      <c r="L6" s="368"/>
      <c r="M6" s="378"/>
      <c r="N6" s="422"/>
      <c r="O6" s="423"/>
    </row>
    <row r="7" spans="1:15" x14ac:dyDescent="0.3">
      <c r="A7" s="412" t="s">
        <v>471</v>
      </c>
      <c r="B7" s="368">
        <f>L7*0.2</f>
        <v>4200</v>
      </c>
      <c r="C7" s="369">
        <f>L7*0.8</f>
        <v>16800</v>
      </c>
      <c r="D7" s="404"/>
      <c r="E7" s="400"/>
      <c r="F7" s="400"/>
      <c r="G7" s="400"/>
      <c r="H7" s="400"/>
      <c r="I7" s="400"/>
      <c r="J7" s="400"/>
      <c r="K7" s="400"/>
      <c r="L7" s="400">
        <v>21000</v>
      </c>
      <c r="M7" s="378"/>
      <c r="N7" s="422"/>
      <c r="O7" s="423"/>
    </row>
    <row r="8" spans="1:15" x14ac:dyDescent="0.3">
      <c r="A8" s="413" t="s">
        <v>459</v>
      </c>
      <c r="B8" s="368">
        <f>E8*0.2</f>
        <v>1000</v>
      </c>
      <c r="C8" s="369">
        <f>E8*0.8</f>
        <v>4000</v>
      </c>
      <c r="D8" s="402"/>
      <c r="E8" s="368">
        <v>5000</v>
      </c>
      <c r="F8" s="368"/>
      <c r="G8" s="368"/>
      <c r="H8" s="368"/>
      <c r="I8" s="368"/>
      <c r="J8" s="368"/>
      <c r="K8" s="368"/>
      <c r="L8" s="368"/>
      <c r="M8" s="378"/>
      <c r="N8" s="422"/>
      <c r="O8" s="423">
        <v>63000</v>
      </c>
    </row>
    <row r="9" spans="1:15" x14ac:dyDescent="0.3">
      <c r="A9" s="413" t="s">
        <v>464</v>
      </c>
      <c r="B9" s="368">
        <f>H9*0.2</f>
        <v>17200</v>
      </c>
      <c r="C9" s="369">
        <f>H9*0.8</f>
        <v>68800</v>
      </c>
      <c r="D9" s="382"/>
      <c r="E9" s="356"/>
      <c r="F9" s="356"/>
      <c r="G9" s="356"/>
      <c r="H9" s="368">
        <v>86000</v>
      </c>
      <c r="I9" s="356"/>
      <c r="J9" s="356"/>
      <c r="K9" s="356"/>
      <c r="L9" s="356"/>
      <c r="M9" s="371">
        <v>20</v>
      </c>
      <c r="N9" s="382">
        <v>900000</v>
      </c>
      <c r="O9" s="366">
        <v>809000</v>
      </c>
    </row>
    <row r="10" spans="1:15" x14ac:dyDescent="0.3">
      <c r="A10" s="413" t="s">
        <v>463</v>
      </c>
      <c r="B10" s="368">
        <f>H10*0.2</f>
        <v>16369</v>
      </c>
      <c r="C10" s="369">
        <f>H10*0.8</f>
        <v>65476</v>
      </c>
      <c r="D10" s="382"/>
      <c r="E10" s="356"/>
      <c r="F10" s="356"/>
      <c r="G10" s="356"/>
      <c r="H10" s="368">
        <v>81845</v>
      </c>
      <c r="I10" s="356"/>
      <c r="J10" s="356"/>
      <c r="K10" s="356"/>
      <c r="L10" s="356"/>
      <c r="M10" s="371">
        <v>4</v>
      </c>
      <c r="N10" s="382">
        <v>180000</v>
      </c>
      <c r="O10" s="366">
        <v>618155</v>
      </c>
    </row>
    <row r="11" spans="1:15" x14ac:dyDescent="0.3">
      <c r="A11" s="413" t="s">
        <v>432</v>
      </c>
      <c r="B11" s="368">
        <f>E11*0.2</f>
        <v>15000</v>
      </c>
      <c r="C11" s="369">
        <f>E11*0.8</f>
        <v>60000</v>
      </c>
      <c r="D11" s="382"/>
      <c r="E11" s="368">
        <v>75000</v>
      </c>
      <c r="F11" s="356"/>
      <c r="G11" s="356"/>
      <c r="H11" s="368"/>
      <c r="I11" s="356"/>
      <c r="J11" s="356"/>
      <c r="K11" s="356"/>
      <c r="L11" s="356"/>
      <c r="M11" s="371"/>
      <c r="N11" s="382"/>
      <c r="O11" s="366"/>
    </row>
    <row r="12" spans="1:15" x14ac:dyDescent="0.3">
      <c r="A12" s="413" t="s">
        <v>465</v>
      </c>
      <c r="B12" s="368">
        <f>H12*0.8</f>
        <v>68800</v>
      </c>
      <c r="C12" s="369">
        <f>H12*0.2</f>
        <v>17200</v>
      </c>
      <c r="D12" s="382"/>
      <c r="E12" s="356"/>
      <c r="F12" s="356"/>
      <c r="G12" s="356"/>
      <c r="H12" s="368">
        <v>86000</v>
      </c>
      <c r="I12" s="356"/>
      <c r="J12" s="356"/>
      <c r="K12" s="356"/>
      <c r="L12" s="356"/>
      <c r="M12" s="371">
        <v>5</v>
      </c>
      <c r="N12" s="382">
        <v>140000</v>
      </c>
      <c r="O12" s="366">
        <v>164000</v>
      </c>
    </row>
    <row r="13" spans="1:15" x14ac:dyDescent="0.3">
      <c r="A13" s="414" t="s">
        <v>466</v>
      </c>
      <c r="B13" s="368">
        <f>H13*0.8</f>
        <v>68800</v>
      </c>
      <c r="C13" s="369">
        <f>H13*0.2</f>
        <v>17200</v>
      </c>
      <c r="D13" s="397"/>
      <c r="E13" s="303"/>
      <c r="F13" s="303"/>
      <c r="G13" s="303"/>
      <c r="H13" s="368">
        <v>86000</v>
      </c>
      <c r="I13" s="303"/>
      <c r="J13" s="303"/>
      <c r="K13" s="303"/>
      <c r="L13" s="356"/>
      <c r="M13" s="371">
        <v>2</v>
      </c>
      <c r="N13" s="382">
        <v>140000</v>
      </c>
      <c r="O13" s="366">
        <v>477297</v>
      </c>
    </row>
    <row r="14" spans="1:15" x14ac:dyDescent="0.3">
      <c r="A14" s="413" t="s">
        <v>460</v>
      </c>
      <c r="B14" s="368">
        <f>H14*0.8</f>
        <v>2148</v>
      </c>
      <c r="C14" s="369">
        <f>H14*0.2</f>
        <v>537</v>
      </c>
      <c r="D14" s="382"/>
      <c r="E14" s="356"/>
      <c r="F14" s="356"/>
      <c r="G14" s="356"/>
      <c r="H14" s="368">
        <v>2685</v>
      </c>
      <c r="I14" s="356"/>
      <c r="J14" s="356"/>
      <c r="K14" s="356"/>
      <c r="L14" s="356"/>
      <c r="M14" s="371">
        <v>4</v>
      </c>
      <c r="N14" s="382"/>
      <c r="O14" s="366">
        <v>102315</v>
      </c>
    </row>
    <row r="15" spans="1:15" x14ac:dyDescent="0.3">
      <c r="A15" s="415" t="s">
        <v>354</v>
      </c>
      <c r="B15" s="368">
        <v>13489</v>
      </c>
      <c r="C15" s="369">
        <v>22969</v>
      </c>
      <c r="D15" s="402">
        <v>36458</v>
      </c>
      <c r="E15" s="303"/>
      <c r="F15" s="303"/>
      <c r="G15" s="303"/>
      <c r="H15" s="303"/>
      <c r="I15" s="356"/>
      <c r="J15" s="356"/>
      <c r="K15" s="356"/>
      <c r="L15" s="356"/>
      <c r="M15" s="392"/>
      <c r="N15" s="382"/>
      <c r="O15" s="366"/>
    </row>
    <row r="16" spans="1:15" x14ac:dyDescent="0.3">
      <c r="A16" s="413" t="s">
        <v>461</v>
      </c>
      <c r="B16" s="368">
        <f>H16*0.2</f>
        <v>12623</v>
      </c>
      <c r="C16" s="369">
        <f>H16*0.8</f>
        <v>50492</v>
      </c>
      <c r="D16" s="397"/>
      <c r="E16" s="303"/>
      <c r="F16" s="356"/>
      <c r="G16" s="356"/>
      <c r="H16" s="356">
        <v>63115</v>
      </c>
      <c r="I16" s="368"/>
      <c r="J16" s="368"/>
      <c r="K16" s="368"/>
      <c r="L16" s="368"/>
      <c r="M16" s="378">
        <v>8</v>
      </c>
      <c r="N16" s="402">
        <v>480000</v>
      </c>
      <c r="O16" s="369">
        <v>406884</v>
      </c>
    </row>
    <row r="17" spans="1:15" x14ac:dyDescent="0.3">
      <c r="A17" s="413" t="s">
        <v>462</v>
      </c>
      <c r="B17" s="368">
        <f>H17*0.2</f>
        <v>1227.4000000000001</v>
      </c>
      <c r="C17" s="369">
        <f>H17*0.8</f>
        <v>4909.6000000000004</v>
      </c>
      <c r="D17" s="397"/>
      <c r="E17" s="303"/>
      <c r="F17" s="303"/>
      <c r="G17" s="303"/>
      <c r="H17" s="368">
        <v>6137</v>
      </c>
      <c r="I17" s="356"/>
      <c r="J17" s="356"/>
      <c r="K17" s="356"/>
      <c r="L17" s="356"/>
      <c r="M17" s="392">
        <v>2</v>
      </c>
      <c r="N17" s="382">
        <v>40000</v>
      </c>
      <c r="O17" s="366">
        <v>45863</v>
      </c>
    </row>
    <row r="18" spans="1:15" ht="15" thickBot="1" x14ac:dyDescent="0.35">
      <c r="A18" s="416" t="s">
        <v>31</v>
      </c>
      <c r="B18" s="426">
        <f t="shared" ref="B18:O18" si="0">SUM(B3:B17)</f>
        <v>342296.4</v>
      </c>
      <c r="C18" s="427">
        <f t="shared" si="0"/>
        <v>827943.6</v>
      </c>
      <c r="D18" s="398">
        <f t="shared" si="0"/>
        <v>520058</v>
      </c>
      <c r="E18" s="372">
        <f t="shared" si="0"/>
        <v>105000</v>
      </c>
      <c r="F18" s="372">
        <f t="shared" si="0"/>
        <v>0</v>
      </c>
      <c r="G18" s="372">
        <f t="shared" si="0"/>
        <v>0</v>
      </c>
      <c r="H18" s="372">
        <f t="shared" si="0"/>
        <v>497782</v>
      </c>
      <c r="I18" s="372">
        <f t="shared" si="0"/>
        <v>0</v>
      </c>
      <c r="J18" s="372">
        <f t="shared" si="0"/>
        <v>0</v>
      </c>
      <c r="K18" s="372">
        <f t="shared" si="0"/>
        <v>0</v>
      </c>
      <c r="L18" s="372">
        <f t="shared" si="0"/>
        <v>47400</v>
      </c>
      <c r="M18" s="393">
        <f t="shared" si="0"/>
        <v>49</v>
      </c>
      <c r="N18" s="424">
        <f t="shared" si="0"/>
        <v>2260000</v>
      </c>
      <c r="O18" s="425">
        <f t="shared" si="0"/>
        <v>2830514</v>
      </c>
    </row>
    <row r="19" spans="1:15" ht="15" thickBot="1" x14ac:dyDescent="0.35">
      <c r="A19" s="417" t="s">
        <v>162</v>
      </c>
      <c r="B19" s="351">
        <f>SUM(D18:L18)</f>
        <v>1170240</v>
      </c>
      <c r="C19" s="436"/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</row>
    <row r="20" spans="1:15" x14ac:dyDescent="0.3">
      <c r="A20" s="438"/>
      <c r="B20" s="438"/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</row>
    <row r="47" spans="1:2" x14ac:dyDescent="0.3">
      <c r="A47" s="428" t="s">
        <v>468</v>
      </c>
      <c r="B47" s="399"/>
    </row>
    <row r="48" spans="1:2" x14ac:dyDescent="0.3">
      <c r="A48" s="428" t="s">
        <v>467</v>
      </c>
      <c r="B48" s="399"/>
    </row>
    <row r="49" spans="1:2" x14ac:dyDescent="0.3">
      <c r="A49" s="428" t="s">
        <v>469</v>
      </c>
      <c r="B49" s="399"/>
    </row>
    <row r="50" spans="1:2" x14ac:dyDescent="0.3">
      <c r="A50" s="428" t="s">
        <v>473</v>
      </c>
      <c r="B50" s="399"/>
    </row>
    <row r="51" spans="1:2" x14ac:dyDescent="0.3">
      <c r="A51" s="428" t="s">
        <v>474</v>
      </c>
      <c r="B51" s="399"/>
    </row>
    <row r="52" spans="1:2" x14ac:dyDescent="0.3">
      <c r="A52" s="428" t="s">
        <v>470</v>
      </c>
      <c r="B52" s="399"/>
    </row>
  </sheetData>
  <mergeCells count="5">
    <mergeCell ref="A1:C1"/>
    <mergeCell ref="D1:M1"/>
    <mergeCell ref="N1:O1"/>
    <mergeCell ref="C19:O20"/>
    <mergeCell ref="A20:B20"/>
  </mergeCells>
  <pageMargins left="0.7" right="0.7" top="0.75" bottom="0.75" header="0.3" footer="0.3"/>
  <pageSetup scale="6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7"/>
  <sheetViews>
    <sheetView workbookViewId="0">
      <selection activeCell="B14" sqref="B14"/>
    </sheetView>
  </sheetViews>
  <sheetFormatPr defaultRowHeight="14.4" x14ac:dyDescent="0.3"/>
  <cols>
    <col min="1" max="1" width="28.6640625" customWidth="1"/>
    <col min="2" max="2" width="15" customWidth="1"/>
    <col min="3" max="3" width="14.6640625" customWidth="1"/>
    <col min="5" max="5" width="13.33203125" customWidth="1"/>
    <col min="6" max="6" width="12.33203125" customWidth="1"/>
    <col min="7" max="7" width="13" customWidth="1"/>
    <col min="8" max="8" width="11.109375" customWidth="1"/>
    <col min="12" max="12" width="12.8867187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167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0">
        <v>40000</v>
      </c>
      <c r="C3" s="81">
        <v>160000</v>
      </c>
      <c r="D3" s="39"/>
      <c r="E3" s="82">
        <f>160000+40000</f>
        <v>200000</v>
      </c>
      <c r="F3" s="54"/>
      <c r="G3" s="80"/>
      <c r="H3" s="80"/>
      <c r="I3" s="80"/>
      <c r="J3" s="80"/>
      <c r="K3" s="80"/>
      <c r="L3" s="80"/>
    </row>
    <row r="4" spans="1:13" x14ac:dyDescent="0.3">
      <c r="A4" s="63" t="s">
        <v>168</v>
      </c>
      <c r="B4" s="80">
        <v>96000</v>
      </c>
      <c r="C4" s="81">
        <v>24000</v>
      </c>
      <c r="D4" s="39"/>
      <c r="E4" s="81"/>
      <c r="F4" s="54"/>
      <c r="G4" s="80"/>
      <c r="H4" s="80">
        <f>24000+96000</f>
        <v>120000</v>
      </c>
      <c r="I4" s="80"/>
      <c r="J4" s="80"/>
      <c r="K4" s="80"/>
      <c r="L4" s="80"/>
      <c r="M4">
        <v>27</v>
      </c>
    </row>
    <row r="5" spans="1:13" x14ac:dyDescent="0.3">
      <c r="A5" t="s">
        <v>169</v>
      </c>
      <c r="B5" s="80"/>
      <c r="C5" s="81">
        <v>140751</v>
      </c>
      <c r="D5" s="39"/>
      <c r="E5" s="81"/>
      <c r="F5" s="80">
        <v>140751</v>
      </c>
      <c r="G5" s="80"/>
      <c r="H5" s="80"/>
      <c r="I5" s="80"/>
      <c r="J5" s="80"/>
      <c r="K5" s="80"/>
      <c r="L5" s="80"/>
    </row>
    <row r="6" spans="1:13" x14ac:dyDescent="0.3">
      <c r="A6" s="63" t="s">
        <v>170</v>
      </c>
      <c r="B6" s="80">
        <v>10000</v>
      </c>
      <c r="C6" s="81">
        <v>40000</v>
      </c>
      <c r="D6" s="39"/>
      <c r="E6" s="81"/>
      <c r="F6" s="54"/>
      <c r="G6" s="80"/>
      <c r="H6" s="80">
        <f>40000+10000</f>
        <v>50000</v>
      </c>
      <c r="I6" s="80"/>
      <c r="J6" s="80"/>
      <c r="K6" s="80"/>
      <c r="L6" s="80"/>
      <c r="M6">
        <v>14</v>
      </c>
    </row>
    <row r="7" spans="1:13" x14ac:dyDescent="0.3">
      <c r="A7" s="63" t="s">
        <v>171</v>
      </c>
      <c r="B7" s="82">
        <v>112000</v>
      </c>
      <c r="C7" s="81">
        <f>8000+20000</f>
        <v>28000</v>
      </c>
      <c r="D7" s="39"/>
      <c r="E7" s="81"/>
      <c r="F7" s="80">
        <v>35026.53</v>
      </c>
      <c r="G7" s="80">
        <v>100000</v>
      </c>
      <c r="H7" s="80">
        <v>4973.47</v>
      </c>
      <c r="I7" s="80"/>
      <c r="J7" s="80"/>
      <c r="K7" s="80"/>
      <c r="L7" s="80"/>
      <c r="M7">
        <v>14</v>
      </c>
    </row>
    <row r="8" spans="1:13" x14ac:dyDescent="0.3">
      <c r="A8" s="63" t="s">
        <v>154</v>
      </c>
      <c r="B8" s="80">
        <v>20000</v>
      </c>
      <c r="C8" s="81">
        <v>5000</v>
      </c>
      <c r="D8" s="39"/>
      <c r="E8" s="81"/>
      <c r="F8" s="80"/>
      <c r="G8" s="80"/>
      <c r="H8" s="80"/>
      <c r="I8" s="80"/>
      <c r="J8" s="80"/>
      <c r="K8" s="80">
        <v>25000</v>
      </c>
      <c r="L8" s="80"/>
      <c r="M8">
        <v>2</v>
      </c>
    </row>
    <row r="9" spans="1:13" x14ac:dyDescent="0.3">
      <c r="A9" t="s">
        <v>172</v>
      </c>
      <c r="B9" s="80"/>
      <c r="C9" s="81">
        <v>30000</v>
      </c>
      <c r="D9" s="39"/>
      <c r="E9" s="81"/>
      <c r="F9" s="80">
        <v>30000</v>
      </c>
      <c r="G9" s="80"/>
      <c r="H9" s="80"/>
      <c r="I9" s="80"/>
      <c r="J9" s="80"/>
      <c r="K9" s="80"/>
      <c r="L9" s="80"/>
      <c r="M9">
        <v>1</v>
      </c>
    </row>
    <row r="10" spans="1:13" x14ac:dyDescent="0.3">
      <c r="A10" t="s">
        <v>173</v>
      </c>
      <c r="B10" s="80">
        <v>2022.2</v>
      </c>
      <c r="C10" s="81">
        <v>6067</v>
      </c>
      <c r="D10" s="39"/>
      <c r="E10" s="81"/>
      <c r="F10" s="80">
        <f>6067+2022.2</f>
        <v>8089.2</v>
      </c>
      <c r="G10" s="80"/>
      <c r="H10" s="80"/>
      <c r="I10" s="80"/>
      <c r="J10" s="80"/>
      <c r="K10" s="80"/>
      <c r="L10" s="80"/>
      <c r="M10">
        <v>5</v>
      </c>
    </row>
    <row r="11" spans="1:13" x14ac:dyDescent="0.3">
      <c r="A11" t="s">
        <v>174</v>
      </c>
      <c r="B11" s="80">
        <v>3000</v>
      </c>
      <c r="C11" s="81">
        <v>12000</v>
      </c>
      <c r="D11" s="39"/>
      <c r="E11" s="81"/>
      <c r="F11" s="80">
        <f>12000+3000</f>
        <v>15000</v>
      </c>
      <c r="G11" s="80"/>
      <c r="H11" s="80"/>
      <c r="I11" s="80"/>
      <c r="J11" s="80"/>
      <c r="K11" s="80"/>
      <c r="L11" s="80"/>
      <c r="M11">
        <v>1</v>
      </c>
    </row>
    <row r="12" spans="1:13" x14ac:dyDescent="0.3">
      <c r="A12" t="s">
        <v>29</v>
      </c>
      <c r="B12" s="80"/>
      <c r="C12" s="81">
        <v>279996</v>
      </c>
      <c r="D12" s="39"/>
      <c r="E12" s="81"/>
      <c r="F12" s="80"/>
      <c r="G12" s="80"/>
      <c r="H12" s="80"/>
      <c r="I12" s="80"/>
      <c r="J12" s="80"/>
      <c r="K12" s="80"/>
      <c r="L12" s="80">
        <v>279996</v>
      </c>
    </row>
    <row r="13" spans="1:13" x14ac:dyDescent="0.3">
      <c r="A13" t="s">
        <v>175</v>
      </c>
      <c r="B13" s="80"/>
      <c r="C13" s="81">
        <v>40000</v>
      </c>
      <c r="D13" s="39"/>
      <c r="E13" s="81"/>
      <c r="F13" s="80"/>
      <c r="G13" s="80"/>
      <c r="H13" s="80"/>
      <c r="I13" s="80"/>
      <c r="J13" s="80"/>
      <c r="K13" s="80">
        <v>40000</v>
      </c>
      <c r="L13" s="80"/>
    </row>
    <row r="14" spans="1:13" ht="15" thickBot="1" x14ac:dyDescent="0.35">
      <c r="A14" s="85" t="s">
        <v>31</v>
      </c>
      <c r="B14" s="86">
        <f>SUM(B3:B13)</f>
        <v>283022.2</v>
      </c>
      <c r="C14" s="86">
        <f>SUM(C3:C13)</f>
        <v>765814</v>
      </c>
      <c r="D14" s="46"/>
      <c r="E14" s="87">
        <f>SUM(E3:E13)</f>
        <v>200000</v>
      </c>
      <c r="F14" s="86">
        <f>SUM(F3:F13)</f>
        <v>228866.73</v>
      </c>
      <c r="G14" s="86">
        <f>SUM(G3:G13)</f>
        <v>100000</v>
      </c>
      <c r="H14" s="86">
        <f>SUM(H3:H13)</f>
        <v>174973.47</v>
      </c>
      <c r="I14" s="86"/>
      <c r="J14" s="86"/>
      <c r="K14" s="86">
        <f>SUM(K3:K13)</f>
        <v>65000</v>
      </c>
      <c r="L14" s="86">
        <f>SUM(L3:L13)</f>
        <v>279996</v>
      </c>
      <c r="M14" s="85">
        <f>SUM(M3:M13)</f>
        <v>64</v>
      </c>
    </row>
    <row r="15" spans="1:13" ht="15" thickTop="1" x14ac:dyDescent="0.3">
      <c r="B15" s="54"/>
      <c r="C15" s="54"/>
      <c r="D15" s="88"/>
      <c r="E15" s="84"/>
      <c r="F15" s="54"/>
      <c r="G15" s="54"/>
      <c r="H15" s="54"/>
      <c r="I15" s="54"/>
      <c r="J15" s="54"/>
      <c r="K15" s="54"/>
      <c r="L15" s="54"/>
    </row>
    <row r="16" spans="1:13" x14ac:dyDescent="0.3">
      <c r="A16" t="s">
        <v>162</v>
      </c>
      <c r="B16" s="54">
        <f>SUM(B14:C14)</f>
        <v>1048836.2</v>
      </c>
      <c r="C16" s="54"/>
      <c r="D16" s="88"/>
      <c r="E16" s="84"/>
      <c r="F16" s="54"/>
      <c r="G16" s="54"/>
      <c r="H16" s="54"/>
      <c r="I16" s="54"/>
      <c r="J16" s="54"/>
      <c r="K16" s="54"/>
      <c r="L16" s="54"/>
    </row>
    <row r="17" spans="2:12" x14ac:dyDescent="0.3">
      <c r="B17" s="54"/>
      <c r="C17" s="54"/>
      <c r="D17" s="88"/>
      <c r="E17" s="84"/>
      <c r="F17" s="54"/>
      <c r="G17" s="54"/>
      <c r="H17" s="54"/>
      <c r="I17" s="54"/>
      <c r="J17" s="54"/>
      <c r="K17" s="54"/>
      <c r="L17" s="54"/>
    </row>
  </sheetData>
  <pageMargins left="0.7" right="0.7" top="0.75" bottom="0.75" header="0.3" footer="0.3"/>
  <pageSetup scale="73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0"/>
  <sheetViews>
    <sheetView workbookViewId="0">
      <selection activeCell="B23" sqref="B23"/>
    </sheetView>
  </sheetViews>
  <sheetFormatPr defaultRowHeight="14.4" x14ac:dyDescent="0.3"/>
  <cols>
    <col min="1" max="1" width="35.109375" customWidth="1"/>
    <col min="2" max="2" width="14.109375" customWidth="1"/>
    <col min="3" max="3" width="15" customWidth="1"/>
    <col min="5" max="5" width="14.109375" customWidth="1"/>
    <col min="6" max="6" width="12.6640625" customWidth="1"/>
    <col min="10" max="10" width="13" customWidth="1"/>
    <col min="11" max="11" width="13.109375" customWidth="1"/>
    <col min="12" max="12" width="13.664062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176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1">
        <v>26700</v>
      </c>
      <c r="C3" s="81">
        <v>107475</v>
      </c>
      <c r="D3" s="39"/>
      <c r="E3" s="80">
        <f>107475+26700</f>
        <v>134175</v>
      </c>
      <c r="F3" s="54"/>
      <c r="G3" s="80"/>
      <c r="H3" s="80"/>
      <c r="I3" s="80"/>
      <c r="J3" s="80"/>
      <c r="K3" s="80"/>
      <c r="L3" s="80"/>
    </row>
    <row r="4" spans="1:13" x14ac:dyDescent="0.3">
      <c r="A4" s="63" t="s">
        <v>177</v>
      </c>
      <c r="B4" s="81">
        <v>5000</v>
      </c>
      <c r="C4" s="81">
        <v>15000</v>
      </c>
      <c r="D4" s="39"/>
      <c r="E4" s="81"/>
      <c r="F4" s="80">
        <f>15000+5000</f>
        <v>20000</v>
      </c>
      <c r="G4" s="80"/>
      <c r="H4" s="80"/>
      <c r="I4" s="80"/>
      <c r="J4" s="80"/>
      <c r="K4" s="80"/>
      <c r="L4" s="80"/>
      <c r="M4">
        <v>20</v>
      </c>
    </row>
    <row r="5" spans="1:13" x14ac:dyDescent="0.3">
      <c r="A5" s="63" t="s">
        <v>178</v>
      </c>
      <c r="B5" s="81"/>
      <c r="C5" s="81">
        <v>187668</v>
      </c>
      <c r="D5" s="39"/>
      <c r="E5" s="81"/>
      <c r="F5" s="80">
        <v>187668</v>
      </c>
      <c r="G5" s="80"/>
      <c r="H5" s="80"/>
      <c r="I5" s="80"/>
      <c r="J5" s="80"/>
      <c r="K5" s="80"/>
      <c r="L5" s="80"/>
    </row>
    <row r="6" spans="1:13" x14ac:dyDescent="0.3">
      <c r="A6" s="63" t="s">
        <v>179</v>
      </c>
      <c r="B6" s="81"/>
      <c r="C6" s="81">
        <v>7133</v>
      </c>
      <c r="D6" s="39"/>
      <c r="E6" s="81"/>
      <c r="F6" s="80">
        <v>7133</v>
      </c>
      <c r="G6" s="80"/>
      <c r="H6" s="80"/>
      <c r="I6" s="80"/>
      <c r="J6" s="80"/>
      <c r="K6" s="80"/>
      <c r="L6" s="80"/>
    </row>
    <row r="7" spans="1:13" x14ac:dyDescent="0.3">
      <c r="A7" s="63" t="s">
        <v>180</v>
      </c>
      <c r="B7" s="81">
        <v>20000</v>
      </c>
      <c r="C7" s="81">
        <v>5000</v>
      </c>
      <c r="D7" s="39"/>
      <c r="E7" s="81"/>
      <c r="F7" s="80"/>
      <c r="G7" s="80"/>
      <c r="H7" s="80"/>
      <c r="I7" s="80"/>
      <c r="J7" s="80"/>
      <c r="K7" s="80">
        <f>5000+20000</f>
        <v>25000</v>
      </c>
      <c r="L7" s="80"/>
    </row>
    <row r="8" spans="1:13" x14ac:dyDescent="0.3">
      <c r="A8" s="63" t="s">
        <v>181</v>
      </c>
      <c r="B8" s="81">
        <v>10000</v>
      </c>
      <c r="C8" s="81">
        <v>10000</v>
      </c>
      <c r="D8" s="39"/>
      <c r="E8" s="81"/>
      <c r="F8" s="80">
        <f>10000+10000</f>
        <v>20000</v>
      </c>
      <c r="G8" s="80"/>
      <c r="H8" s="80"/>
      <c r="I8" s="80"/>
      <c r="J8" s="80"/>
      <c r="K8" s="80"/>
      <c r="L8" s="80"/>
    </row>
    <row r="9" spans="1:13" x14ac:dyDescent="0.3">
      <c r="A9" t="s">
        <v>182</v>
      </c>
      <c r="B9" s="81">
        <v>790</v>
      </c>
      <c r="C9" s="81">
        <v>3160</v>
      </c>
      <c r="D9" s="39"/>
      <c r="E9" s="81"/>
      <c r="F9" s="80">
        <f>3160+790</f>
        <v>3950</v>
      </c>
      <c r="G9" s="80"/>
      <c r="H9" s="80"/>
      <c r="I9" s="80"/>
      <c r="J9" s="80"/>
      <c r="K9" s="80"/>
      <c r="L9" s="80"/>
    </row>
    <row r="10" spans="1:13" x14ac:dyDescent="0.3">
      <c r="A10" s="63" t="s">
        <v>183</v>
      </c>
      <c r="B10" s="81">
        <v>500</v>
      </c>
      <c r="C10" s="81">
        <v>2000</v>
      </c>
      <c r="D10" s="39"/>
      <c r="E10" s="81"/>
      <c r="F10" s="80">
        <f>2000+500</f>
        <v>2500</v>
      </c>
      <c r="G10" s="80"/>
      <c r="H10" s="80"/>
      <c r="I10" s="80"/>
      <c r="J10" s="80"/>
      <c r="K10" s="80"/>
      <c r="L10" s="80"/>
    </row>
    <row r="11" spans="1:13" x14ac:dyDescent="0.3">
      <c r="A11" s="63" t="s">
        <v>184</v>
      </c>
      <c r="B11" s="81">
        <v>4000</v>
      </c>
      <c r="C11" s="81">
        <v>1000</v>
      </c>
      <c r="D11" s="39"/>
      <c r="E11" s="81"/>
      <c r="F11" s="80">
        <f>1000+4000</f>
        <v>5000</v>
      </c>
      <c r="G11" s="80"/>
      <c r="H11" s="80"/>
      <c r="I11" s="80"/>
      <c r="J11" s="80"/>
      <c r="K11" s="80"/>
      <c r="L11" s="80"/>
    </row>
    <row r="12" spans="1:13" x14ac:dyDescent="0.3">
      <c r="A12" s="63" t="s">
        <v>185</v>
      </c>
      <c r="B12" s="81">
        <v>800</v>
      </c>
      <c r="C12" s="81">
        <v>3200</v>
      </c>
      <c r="D12" s="39"/>
      <c r="E12" s="81"/>
      <c r="F12" s="80">
        <f>3200+800</f>
        <v>4000</v>
      </c>
      <c r="G12" s="80"/>
      <c r="H12" s="80"/>
      <c r="I12" s="80"/>
      <c r="J12" s="80"/>
      <c r="K12" s="80"/>
      <c r="L12" s="80"/>
    </row>
    <row r="13" spans="1:13" x14ac:dyDescent="0.3">
      <c r="A13" s="63" t="s">
        <v>153</v>
      </c>
      <c r="B13" s="81">
        <v>28600</v>
      </c>
      <c r="C13" s="81">
        <f>4000+110400</f>
        <v>114400</v>
      </c>
      <c r="D13" s="39"/>
      <c r="E13" s="81"/>
      <c r="F13" s="80"/>
      <c r="G13" s="80"/>
      <c r="H13" s="80"/>
      <c r="I13" s="80"/>
      <c r="J13" s="80"/>
      <c r="K13" s="80">
        <f>4000+110400+28600</f>
        <v>143000</v>
      </c>
      <c r="L13" s="80"/>
    </row>
    <row r="14" spans="1:13" x14ac:dyDescent="0.3">
      <c r="A14" t="s">
        <v>186</v>
      </c>
      <c r="B14" s="81">
        <v>9000</v>
      </c>
      <c r="C14" s="81">
        <v>6000</v>
      </c>
      <c r="D14" s="39"/>
      <c r="E14" s="81"/>
      <c r="F14" s="80">
        <f>6000+9000</f>
        <v>15000</v>
      </c>
      <c r="G14" s="80"/>
      <c r="H14" s="80"/>
      <c r="I14" s="80"/>
      <c r="J14" s="80"/>
      <c r="K14" s="80"/>
      <c r="L14" s="80"/>
    </row>
    <row r="15" spans="1:13" x14ac:dyDescent="0.3">
      <c r="A15" s="63" t="s">
        <v>187</v>
      </c>
      <c r="B15" s="81">
        <v>20000</v>
      </c>
      <c r="C15" s="81">
        <v>80000</v>
      </c>
      <c r="D15" s="39"/>
      <c r="E15" s="81"/>
      <c r="F15" s="80">
        <f>80000+20000</f>
        <v>100000</v>
      </c>
      <c r="G15" s="80"/>
      <c r="H15" s="80"/>
      <c r="I15" s="80"/>
      <c r="J15" s="80"/>
      <c r="K15" s="80"/>
      <c r="L15" s="80"/>
    </row>
    <row r="16" spans="1:13" x14ac:dyDescent="0.3">
      <c r="A16" s="63" t="s">
        <v>188</v>
      </c>
      <c r="B16" s="81">
        <v>38400</v>
      </c>
      <c r="C16" s="81">
        <v>9600</v>
      </c>
      <c r="D16" s="39"/>
      <c r="E16" s="81"/>
      <c r="F16" s="80">
        <v>48000</v>
      </c>
      <c r="G16" s="80"/>
      <c r="H16" s="80"/>
      <c r="I16" s="80"/>
      <c r="J16" s="80"/>
      <c r="K16" s="80"/>
      <c r="L16" s="80"/>
      <c r="M16">
        <v>4</v>
      </c>
    </row>
    <row r="17" spans="1:13" x14ac:dyDescent="0.3">
      <c r="A17" t="s">
        <v>189</v>
      </c>
      <c r="B17" s="81">
        <v>60000</v>
      </c>
      <c r="C17" s="81">
        <f>80000+344000</f>
        <v>424000</v>
      </c>
      <c r="D17" s="39"/>
      <c r="E17" s="81"/>
      <c r="F17" s="80">
        <v>100000</v>
      </c>
      <c r="G17" s="80"/>
      <c r="H17" s="80"/>
      <c r="I17" s="80"/>
      <c r="J17" s="80">
        <v>384000</v>
      </c>
      <c r="K17" s="80"/>
      <c r="L17" s="80"/>
      <c r="M17">
        <v>3</v>
      </c>
    </row>
    <row r="18" spans="1:13" x14ac:dyDescent="0.3">
      <c r="A18" s="63" t="s">
        <v>190</v>
      </c>
      <c r="B18" s="81">
        <v>4048.62</v>
      </c>
      <c r="C18" s="81">
        <v>16194</v>
      </c>
      <c r="D18" s="39"/>
      <c r="E18" s="81"/>
      <c r="F18" s="54"/>
      <c r="G18" s="80"/>
      <c r="H18" s="80">
        <f>16194+4048.62</f>
        <v>20242.62</v>
      </c>
      <c r="I18" s="80"/>
      <c r="J18" s="80"/>
      <c r="K18" s="80"/>
      <c r="L18" s="80"/>
      <c r="M18">
        <v>9</v>
      </c>
    </row>
    <row r="19" spans="1:13" x14ac:dyDescent="0.3">
      <c r="A19" s="63" t="s">
        <v>191</v>
      </c>
      <c r="B19" s="81"/>
      <c r="C19" s="81">
        <v>200345</v>
      </c>
      <c r="D19" s="39"/>
      <c r="E19" s="81"/>
      <c r="F19" s="80"/>
      <c r="G19" s="80"/>
      <c r="H19" s="80"/>
      <c r="I19" s="80"/>
      <c r="J19" s="80"/>
      <c r="K19" s="80"/>
      <c r="L19" s="80">
        <v>200345</v>
      </c>
    </row>
    <row r="20" spans="1:13" x14ac:dyDescent="0.3">
      <c r="A20" s="63" t="s">
        <v>192</v>
      </c>
      <c r="B20" s="81"/>
      <c r="C20" s="81">
        <v>279996</v>
      </c>
      <c r="D20" s="39"/>
      <c r="E20" s="81"/>
      <c r="F20" s="80"/>
      <c r="G20" s="80"/>
      <c r="H20" s="80"/>
      <c r="I20" s="80"/>
      <c r="J20" s="80"/>
      <c r="K20" s="80"/>
      <c r="L20" s="80">
        <v>279996</v>
      </c>
    </row>
    <row r="21" spans="1:13" ht="15" thickBot="1" x14ac:dyDescent="0.35">
      <c r="A21" s="85" t="s">
        <v>31</v>
      </c>
      <c r="B21" s="86">
        <f>SUM(B3:B20)</f>
        <v>227838.62</v>
      </c>
      <c r="C21" s="86">
        <f>SUM(C3:C20)</f>
        <v>1472171</v>
      </c>
      <c r="D21" s="46"/>
      <c r="E21" s="87">
        <f>SUM(E3:E20)</f>
        <v>134175</v>
      </c>
      <c r="F21" s="86">
        <f>SUM(F3:F20)</f>
        <v>513251</v>
      </c>
      <c r="G21" s="86"/>
      <c r="H21" s="86">
        <f>SUM(H3:H20)</f>
        <v>20242.62</v>
      </c>
      <c r="I21" s="86"/>
      <c r="J21" s="86">
        <f>SUM(J3:J20)</f>
        <v>384000</v>
      </c>
      <c r="K21" s="86">
        <f>SUM(K3:K20)</f>
        <v>168000</v>
      </c>
      <c r="L21" s="86">
        <f>SUM(L3:L20)</f>
        <v>480341</v>
      </c>
      <c r="M21" s="85">
        <f>SUM(M3:M20)</f>
        <v>36</v>
      </c>
    </row>
    <row r="22" spans="1:13" ht="15" thickTop="1" x14ac:dyDescent="0.3">
      <c r="B22" s="54"/>
      <c r="C22" s="54"/>
      <c r="D22" s="88"/>
      <c r="E22" s="54"/>
      <c r="F22" s="54"/>
      <c r="G22" s="54"/>
      <c r="H22" s="54"/>
      <c r="I22" s="54"/>
      <c r="J22" s="54"/>
      <c r="K22" s="54"/>
      <c r="L22" s="54"/>
    </row>
    <row r="23" spans="1:13" x14ac:dyDescent="0.3">
      <c r="A23" t="s">
        <v>162</v>
      </c>
      <c r="B23" s="54">
        <f>SUM(B21:C21)</f>
        <v>1700009.62</v>
      </c>
      <c r="C23" s="54"/>
      <c r="D23" s="88"/>
      <c r="E23" s="84"/>
      <c r="F23" s="54"/>
      <c r="G23" s="54"/>
      <c r="H23" s="54"/>
      <c r="I23" s="54"/>
      <c r="J23" s="54"/>
      <c r="K23" s="54"/>
      <c r="L23" s="54"/>
    </row>
    <row r="24" spans="1:13" x14ac:dyDescent="0.3">
      <c r="B24" s="54"/>
      <c r="C24" s="54"/>
      <c r="D24" s="88"/>
      <c r="E24" s="54"/>
      <c r="F24" s="54"/>
      <c r="G24" s="54"/>
      <c r="H24" s="54"/>
      <c r="I24" s="54"/>
      <c r="J24" s="54"/>
      <c r="K24" s="54"/>
      <c r="L24" s="54"/>
    </row>
    <row r="25" spans="1:13" x14ac:dyDescent="0.3">
      <c r="A25" t="s">
        <v>193</v>
      </c>
      <c r="B25" s="54"/>
      <c r="C25" s="54"/>
      <c r="D25" s="88"/>
      <c r="E25" s="54"/>
      <c r="F25" s="54"/>
      <c r="G25" s="54"/>
      <c r="H25" s="54"/>
      <c r="I25" s="54"/>
      <c r="J25" s="54"/>
      <c r="K25" s="54"/>
      <c r="L25" s="54"/>
    </row>
    <row r="26" spans="1:13" x14ac:dyDescent="0.3">
      <c r="A26" s="90" t="s">
        <v>194</v>
      </c>
      <c r="B26" s="54"/>
      <c r="C26" s="54"/>
      <c r="D26" s="88"/>
      <c r="E26" s="54"/>
      <c r="F26" s="54"/>
      <c r="G26" s="54"/>
      <c r="H26" s="54"/>
      <c r="I26" s="54"/>
      <c r="J26" s="54"/>
      <c r="K26" s="54"/>
      <c r="L26" s="54"/>
    </row>
    <row r="27" spans="1:13" x14ac:dyDescent="0.3">
      <c r="A27" s="90" t="s">
        <v>195</v>
      </c>
      <c r="D27" s="88"/>
    </row>
    <row r="28" spans="1:13" x14ac:dyDescent="0.3">
      <c r="A28" s="90" t="s">
        <v>196</v>
      </c>
      <c r="D28" s="88"/>
    </row>
    <row r="29" spans="1:13" x14ac:dyDescent="0.3">
      <c r="A29" s="90" t="s">
        <v>197</v>
      </c>
      <c r="D29" s="88"/>
    </row>
    <row r="30" spans="1:13" x14ac:dyDescent="0.3">
      <c r="D30" s="50"/>
    </row>
  </sheetData>
  <pageMargins left="0.7" right="0.7" top="0.75" bottom="0.75" header="0.3" footer="0.3"/>
  <pageSetup scale="6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5"/>
  <sheetViews>
    <sheetView topLeftCell="A4" workbookViewId="0">
      <selection activeCell="B24" sqref="B24"/>
    </sheetView>
  </sheetViews>
  <sheetFormatPr defaultRowHeight="14.4" x14ac:dyDescent="0.3"/>
  <cols>
    <col min="1" max="1" width="38.44140625" customWidth="1"/>
    <col min="2" max="2" width="18.44140625" customWidth="1"/>
    <col min="3" max="3" width="13.6640625" customWidth="1"/>
    <col min="5" max="5" width="14.5546875" customWidth="1"/>
    <col min="6" max="6" width="13.6640625" customWidth="1"/>
    <col min="7" max="7" width="14.109375" customWidth="1"/>
    <col min="10" max="10" width="14.109375" customWidth="1"/>
    <col min="12" max="12" width="12.33203125" customWidth="1"/>
  </cols>
  <sheetData>
    <row r="1" spans="1:14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4" x14ac:dyDescent="0.3">
      <c r="A2" s="34" t="s">
        <v>198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  <c r="N2" s="92" t="s">
        <v>199</v>
      </c>
    </row>
    <row r="3" spans="1:14" x14ac:dyDescent="0.3">
      <c r="A3" t="s">
        <v>146</v>
      </c>
      <c r="B3" s="80">
        <v>25400</v>
      </c>
      <c r="C3" s="81">
        <v>102450</v>
      </c>
      <c r="D3" s="39"/>
      <c r="E3" s="81">
        <f>102450+25400</f>
        <v>127850</v>
      </c>
      <c r="F3" s="54"/>
      <c r="G3" s="80"/>
      <c r="H3" s="80"/>
      <c r="I3" s="80"/>
      <c r="J3" s="80"/>
      <c r="K3" s="80"/>
      <c r="L3" s="80"/>
    </row>
    <row r="4" spans="1:14" x14ac:dyDescent="0.3">
      <c r="A4" s="63" t="s">
        <v>200</v>
      </c>
      <c r="B4" s="80">
        <v>2000</v>
      </c>
      <c r="C4" s="81">
        <v>8000</v>
      </c>
      <c r="D4" s="39"/>
      <c r="E4" s="81"/>
      <c r="F4" s="80">
        <v>10000</v>
      </c>
      <c r="G4" s="80"/>
      <c r="H4" s="80"/>
      <c r="I4" s="80"/>
      <c r="J4" s="80"/>
      <c r="K4" s="80"/>
      <c r="L4" s="80"/>
    </row>
    <row r="5" spans="1:14" x14ac:dyDescent="0.3">
      <c r="A5" s="63" t="s">
        <v>177</v>
      </c>
      <c r="B5" s="80">
        <v>5000</v>
      </c>
      <c r="C5" s="81">
        <v>25000</v>
      </c>
      <c r="D5" s="39"/>
      <c r="E5" s="81"/>
      <c r="F5" s="80">
        <f>25000+5000</f>
        <v>30000</v>
      </c>
      <c r="G5" s="80"/>
      <c r="H5" s="80"/>
      <c r="I5" s="80"/>
      <c r="J5" s="80"/>
      <c r="K5" s="80"/>
      <c r="L5" s="80"/>
      <c r="M5">
        <v>32</v>
      </c>
      <c r="N5">
        <v>30</v>
      </c>
    </row>
    <row r="6" spans="1:14" x14ac:dyDescent="0.3">
      <c r="A6" s="63" t="s">
        <v>178</v>
      </c>
      <c r="B6" s="80"/>
      <c r="C6" s="81">
        <v>187668</v>
      </c>
      <c r="D6" s="39"/>
      <c r="E6" s="81"/>
      <c r="F6" s="80">
        <v>187668</v>
      </c>
      <c r="G6" s="80"/>
      <c r="H6" s="80"/>
      <c r="I6" s="80"/>
      <c r="J6" s="80"/>
      <c r="K6" s="80"/>
      <c r="L6" s="80"/>
    </row>
    <row r="7" spans="1:14" x14ac:dyDescent="0.3">
      <c r="A7" t="s">
        <v>182</v>
      </c>
      <c r="B7" s="80">
        <v>790</v>
      </c>
      <c r="C7" s="81">
        <v>3160</v>
      </c>
      <c r="D7" s="39"/>
      <c r="E7" s="81"/>
      <c r="F7" s="80">
        <f>3160+790</f>
        <v>3950</v>
      </c>
      <c r="G7" s="80"/>
      <c r="H7" s="80"/>
      <c r="I7" s="80"/>
      <c r="J7" s="80"/>
      <c r="K7" s="80"/>
      <c r="L7" s="80"/>
    </row>
    <row r="8" spans="1:14" x14ac:dyDescent="0.3">
      <c r="A8" t="s">
        <v>201</v>
      </c>
      <c r="B8" s="80">
        <v>24000</v>
      </c>
      <c r="C8" s="81">
        <v>6000</v>
      </c>
      <c r="D8" s="39"/>
      <c r="E8" s="81"/>
      <c r="F8" s="80"/>
      <c r="G8" s="80">
        <f>6000+24000</f>
        <v>30000</v>
      </c>
      <c r="H8" s="80"/>
      <c r="I8" s="80"/>
      <c r="J8" s="80"/>
      <c r="K8" s="80"/>
      <c r="L8" s="80"/>
      <c r="M8">
        <v>2</v>
      </c>
      <c r="N8">
        <v>1</v>
      </c>
    </row>
    <row r="9" spans="1:14" x14ac:dyDescent="0.3">
      <c r="A9" t="s">
        <v>202</v>
      </c>
      <c r="B9" s="80">
        <v>10000</v>
      </c>
      <c r="C9" s="81">
        <v>40000</v>
      </c>
      <c r="D9" s="39"/>
      <c r="E9" s="81"/>
      <c r="F9" s="80"/>
      <c r="G9" s="80">
        <f>40000+10000</f>
        <v>50000</v>
      </c>
      <c r="H9" s="80"/>
      <c r="I9" s="80"/>
      <c r="J9" s="80"/>
      <c r="K9" s="80"/>
      <c r="L9" s="80"/>
      <c r="M9">
        <v>4</v>
      </c>
      <c r="N9">
        <v>4</v>
      </c>
    </row>
    <row r="10" spans="1:14" x14ac:dyDescent="0.3">
      <c r="A10" s="63" t="s">
        <v>153</v>
      </c>
      <c r="B10" s="80">
        <v>1000</v>
      </c>
      <c r="C10" s="81">
        <v>4000</v>
      </c>
      <c r="D10" s="39"/>
      <c r="E10" s="81"/>
      <c r="F10" s="80"/>
      <c r="G10" s="80"/>
      <c r="H10" s="80"/>
      <c r="I10" s="80"/>
      <c r="J10" s="80"/>
      <c r="K10" s="80">
        <v>5000</v>
      </c>
      <c r="L10" s="80"/>
    </row>
    <row r="11" spans="1:14" x14ac:dyDescent="0.3">
      <c r="A11" s="63" t="s">
        <v>203</v>
      </c>
      <c r="B11" s="80">
        <v>16000</v>
      </c>
      <c r="C11" s="81">
        <v>64000</v>
      </c>
      <c r="D11" s="39"/>
      <c r="E11" s="81"/>
      <c r="F11" s="80"/>
      <c r="G11" s="80"/>
      <c r="H11" s="80"/>
      <c r="I11" s="80"/>
      <c r="J11" s="80">
        <v>80000</v>
      </c>
      <c r="K11" s="80"/>
      <c r="L11" s="80"/>
      <c r="N11" s="63">
        <v>130</v>
      </c>
    </row>
    <row r="12" spans="1:14" x14ac:dyDescent="0.3">
      <c r="A12" t="s">
        <v>204</v>
      </c>
      <c r="B12" s="80">
        <v>4000</v>
      </c>
      <c r="C12" s="81">
        <v>16000</v>
      </c>
      <c r="D12" s="39"/>
      <c r="E12" s="81"/>
      <c r="F12" s="80"/>
      <c r="G12" s="80">
        <f>16000+4000</f>
        <v>20000</v>
      </c>
      <c r="H12" s="80"/>
      <c r="I12" s="80"/>
      <c r="J12" s="80"/>
      <c r="K12" s="80"/>
      <c r="L12" s="80"/>
      <c r="M12">
        <v>2</v>
      </c>
    </row>
    <row r="13" spans="1:14" x14ac:dyDescent="0.3">
      <c r="A13" t="s">
        <v>205</v>
      </c>
      <c r="B13" s="80">
        <v>30000</v>
      </c>
      <c r="C13" s="81">
        <v>120000</v>
      </c>
      <c r="D13" s="39"/>
      <c r="E13" s="81"/>
      <c r="F13" s="80">
        <f>120000+30000</f>
        <v>150000</v>
      </c>
      <c r="G13" s="80"/>
      <c r="H13" s="80"/>
      <c r="I13" s="80"/>
      <c r="J13" s="80"/>
      <c r="K13" s="80"/>
      <c r="L13" s="80"/>
      <c r="M13">
        <v>13</v>
      </c>
      <c r="N13">
        <v>13</v>
      </c>
    </row>
    <row r="14" spans="1:14" x14ac:dyDescent="0.3">
      <c r="A14" s="63" t="s">
        <v>206</v>
      </c>
      <c r="B14" s="80">
        <v>720</v>
      </c>
      <c r="C14" s="81">
        <v>2880</v>
      </c>
      <c r="D14" s="39"/>
      <c r="E14" s="81"/>
      <c r="F14" s="80">
        <f>2880+720</f>
        <v>3600</v>
      </c>
      <c r="G14" s="80"/>
      <c r="H14" s="80"/>
      <c r="I14" s="80"/>
      <c r="J14" s="80"/>
      <c r="K14" s="80"/>
      <c r="L14" s="80"/>
      <c r="M14">
        <v>3</v>
      </c>
    </row>
    <row r="15" spans="1:14" x14ac:dyDescent="0.3">
      <c r="A15" t="s">
        <v>207</v>
      </c>
      <c r="B15" s="80">
        <v>16000</v>
      </c>
      <c r="C15" s="81">
        <v>4000</v>
      </c>
      <c r="D15" s="39"/>
      <c r="E15" s="81"/>
      <c r="F15" s="80"/>
      <c r="G15" s="80">
        <f>4000+16000</f>
        <v>20000</v>
      </c>
      <c r="H15" s="80"/>
      <c r="I15" s="80"/>
      <c r="J15" s="80"/>
      <c r="K15" s="80"/>
      <c r="L15" s="80"/>
      <c r="M15">
        <v>3</v>
      </c>
      <c r="N15">
        <v>2</v>
      </c>
    </row>
    <row r="16" spans="1:14" x14ac:dyDescent="0.3">
      <c r="A16" s="63" t="s">
        <v>189</v>
      </c>
      <c r="B16" s="80">
        <v>116000</v>
      </c>
      <c r="C16" s="81">
        <f>80000+200000</f>
        <v>280000</v>
      </c>
      <c r="D16" s="39"/>
      <c r="E16" s="81"/>
      <c r="F16" s="80">
        <v>100000</v>
      </c>
      <c r="G16" s="80"/>
      <c r="H16" s="80"/>
      <c r="I16" s="80"/>
      <c r="J16" s="80">
        <v>296000</v>
      </c>
      <c r="K16" s="80"/>
      <c r="L16" s="80"/>
      <c r="M16">
        <v>2</v>
      </c>
      <c r="N16">
        <v>112</v>
      </c>
    </row>
    <row r="17" spans="1:14" x14ac:dyDescent="0.3">
      <c r="A17" t="s">
        <v>208</v>
      </c>
      <c r="B17" s="82">
        <v>5000</v>
      </c>
      <c r="C17" s="83">
        <v>5000</v>
      </c>
      <c r="D17" s="39"/>
      <c r="E17" s="81"/>
      <c r="F17" s="82">
        <f>5000+5000</f>
        <v>10000</v>
      </c>
      <c r="G17" s="80"/>
      <c r="H17" s="80"/>
      <c r="I17" s="80"/>
      <c r="J17" s="80"/>
      <c r="K17" s="80"/>
      <c r="L17" s="80"/>
    </row>
    <row r="18" spans="1:14" x14ac:dyDescent="0.3">
      <c r="A18" t="s">
        <v>209</v>
      </c>
      <c r="B18" s="80">
        <v>1247.22</v>
      </c>
      <c r="C18" s="81">
        <v>4989</v>
      </c>
      <c r="D18" s="39"/>
      <c r="E18" s="81"/>
      <c r="F18" s="80">
        <f>4989+1247.22</f>
        <v>6236.22</v>
      </c>
      <c r="G18" s="80"/>
      <c r="H18" s="80"/>
      <c r="I18" s="80"/>
      <c r="J18" s="80"/>
      <c r="K18" s="80"/>
      <c r="L18" s="80"/>
      <c r="M18">
        <v>11</v>
      </c>
      <c r="N18">
        <v>11</v>
      </c>
    </row>
    <row r="19" spans="1:14" x14ac:dyDescent="0.3">
      <c r="A19" s="63" t="s">
        <v>210</v>
      </c>
      <c r="B19" s="80">
        <f>2000+20000</f>
        <v>22000</v>
      </c>
      <c r="C19" s="81">
        <f>80000+8000</f>
        <v>88000</v>
      </c>
      <c r="D19" s="39"/>
      <c r="E19" s="81"/>
      <c r="F19" s="54"/>
      <c r="G19" s="80">
        <f>80000+20000</f>
        <v>100000</v>
      </c>
      <c r="H19" s="80">
        <f>8000+2000</f>
        <v>10000</v>
      </c>
      <c r="I19" s="80"/>
      <c r="J19" s="80"/>
      <c r="K19" s="80"/>
      <c r="L19" s="80"/>
      <c r="M19">
        <v>10</v>
      </c>
      <c r="N19">
        <v>10</v>
      </c>
    </row>
    <row r="20" spans="1:14" x14ac:dyDescent="0.3">
      <c r="A20" s="63" t="s">
        <v>211</v>
      </c>
      <c r="B20" s="80"/>
      <c r="C20" s="81">
        <v>279996</v>
      </c>
      <c r="D20" s="39"/>
      <c r="E20" s="81"/>
      <c r="F20" s="80"/>
      <c r="G20" s="80"/>
      <c r="H20" s="80"/>
      <c r="I20" s="80"/>
      <c r="J20" s="80"/>
      <c r="K20" s="80"/>
      <c r="L20" s="80">
        <v>279996</v>
      </c>
    </row>
    <row r="21" spans="1:14" x14ac:dyDescent="0.3">
      <c r="A21" s="63" t="s">
        <v>212</v>
      </c>
      <c r="B21" s="80">
        <v>2400</v>
      </c>
      <c r="C21" s="81">
        <v>9600</v>
      </c>
      <c r="D21" s="39"/>
      <c r="E21" s="81"/>
      <c r="F21" s="80">
        <f>9600+2400</f>
        <v>12000</v>
      </c>
      <c r="G21" s="80"/>
      <c r="H21" s="80"/>
      <c r="I21" s="80"/>
      <c r="J21" s="80"/>
      <c r="K21" s="80"/>
      <c r="L21" s="80"/>
    </row>
    <row r="22" spans="1:14" ht="15" thickBot="1" x14ac:dyDescent="0.35">
      <c r="A22" s="85" t="s">
        <v>213</v>
      </c>
      <c r="B22" s="86">
        <f>SUM(B3:B21)</f>
        <v>281557.21999999997</v>
      </c>
      <c r="C22" s="86">
        <f>SUM(C3:C21)</f>
        <v>1250743</v>
      </c>
      <c r="D22" s="46"/>
      <c r="E22" s="86">
        <f>SUM(E3:E21)</f>
        <v>127850</v>
      </c>
      <c r="F22" s="86">
        <f>SUM(F3:F21)</f>
        <v>513454.22</v>
      </c>
      <c r="G22" s="86">
        <f>SUM(G3:G21)</f>
        <v>220000</v>
      </c>
      <c r="H22" s="86">
        <f>SUM(H3:H21)</f>
        <v>10000</v>
      </c>
      <c r="I22" s="86"/>
      <c r="J22" s="86">
        <f>SUM(J3:J21)</f>
        <v>376000</v>
      </c>
      <c r="K22" s="86">
        <f>SUM(K3:K21)</f>
        <v>5000</v>
      </c>
      <c r="L22" s="86">
        <f>SUM(L3:L21)</f>
        <v>279996</v>
      </c>
      <c r="M22" s="93">
        <f>SUM(M3:M21)</f>
        <v>82</v>
      </c>
      <c r="N22" s="93">
        <f>SUM(N3:N21)</f>
        <v>313</v>
      </c>
    </row>
    <row r="23" spans="1:14" ht="15" thickTop="1" x14ac:dyDescent="0.3">
      <c r="B23" s="54"/>
      <c r="C23" s="54"/>
      <c r="D23" s="88"/>
      <c r="E23" s="50"/>
      <c r="F23" s="54"/>
      <c r="G23" s="54"/>
      <c r="H23" s="54"/>
      <c r="I23" s="54"/>
      <c r="J23" s="54"/>
      <c r="K23" s="54"/>
      <c r="L23" s="54"/>
    </row>
    <row r="24" spans="1:14" x14ac:dyDescent="0.3">
      <c r="A24" t="s">
        <v>214</v>
      </c>
      <c r="B24" s="54">
        <f>SUM(B22:C22)</f>
        <v>1532300.22</v>
      </c>
      <c r="C24" s="54"/>
      <c r="D24" s="88"/>
      <c r="E24" s="88"/>
      <c r="F24" s="54"/>
      <c r="G24" s="54"/>
      <c r="H24" s="54"/>
      <c r="I24" s="54"/>
      <c r="J24" s="54"/>
      <c r="K24" s="54"/>
      <c r="L24" s="54"/>
    </row>
    <row r="25" spans="1:14" x14ac:dyDescent="0.3">
      <c r="B25" s="54"/>
      <c r="C25" s="54"/>
      <c r="D25" s="88"/>
      <c r="E25" s="50"/>
      <c r="F25" s="54"/>
      <c r="G25" s="54"/>
      <c r="H25" s="54"/>
      <c r="I25" s="54"/>
      <c r="J25" s="54"/>
      <c r="K25" s="54"/>
      <c r="L25" s="54"/>
    </row>
  </sheetData>
  <pageMargins left="0.7" right="0.7" top="0.75" bottom="0.75" header="0.3" footer="0.3"/>
  <pageSetup scale="60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16"/>
  <sheetViews>
    <sheetView workbookViewId="0">
      <selection activeCell="A11" sqref="A11"/>
    </sheetView>
  </sheetViews>
  <sheetFormatPr defaultRowHeight="14.4" x14ac:dyDescent="0.3"/>
  <cols>
    <col min="1" max="1" width="34.6640625" customWidth="1"/>
    <col min="2" max="2" width="16.44140625" customWidth="1"/>
    <col min="3" max="3" width="15.109375" customWidth="1"/>
    <col min="5" max="5" width="13.44140625" customWidth="1"/>
    <col min="6" max="6" width="14.6640625" customWidth="1"/>
    <col min="12" max="12" width="13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215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4" t="s">
        <v>12</v>
      </c>
    </row>
    <row r="3" spans="1:13" x14ac:dyDescent="0.3">
      <c r="A3" t="s">
        <v>146</v>
      </c>
      <c r="B3" s="80">
        <v>22600</v>
      </c>
      <c r="C3" s="81">
        <v>88000</v>
      </c>
      <c r="D3" s="39"/>
      <c r="E3" s="81">
        <f>88000+22600</f>
        <v>110600</v>
      </c>
      <c r="F3" s="54"/>
      <c r="G3" s="80"/>
      <c r="H3" s="80"/>
      <c r="I3" s="80"/>
      <c r="J3" s="80"/>
      <c r="K3" s="80"/>
      <c r="L3" s="80"/>
      <c r="M3" s="94"/>
    </row>
    <row r="4" spans="1:13" x14ac:dyDescent="0.3">
      <c r="A4" t="s">
        <v>178</v>
      </c>
      <c r="B4" s="80"/>
      <c r="C4" s="81">
        <f>211001+31278</f>
        <v>242279</v>
      </c>
      <c r="D4" s="39"/>
      <c r="E4" s="81"/>
      <c r="F4" s="80">
        <f>211001+31278</f>
        <v>242279</v>
      </c>
      <c r="G4" s="80"/>
      <c r="H4" s="80"/>
      <c r="I4" s="80"/>
      <c r="J4" s="80"/>
      <c r="K4" s="80"/>
      <c r="L4" s="80"/>
      <c r="M4" s="94"/>
    </row>
    <row r="5" spans="1:13" x14ac:dyDescent="0.3">
      <c r="A5" t="s">
        <v>216</v>
      </c>
      <c r="B5" s="80">
        <v>6000</v>
      </c>
      <c r="C5" s="81">
        <v>24000</v>
      </c>
      <c r="D5" s="39"/>
      <c r="E5" s="81"/>
      <c r="F5" s="80"/>
      <c r="G5" s="80">
        <f>24000+6000</f>
        <v>30000</v>
      </c>
      <c r="H5" s="80"/>
      <c r="I5" s="80"/>
      <c r="J5" s="80"/>
      <c r="K5" s="80"/>
      <c r="L5" s="80"/>
      <c r="M5" s="94">
        <v>9</v>
      </c>
    </row>
    <row r="6" spans="1:13" x14ac:dyDescent="0.3">
      <c r="A6" s="63" t="s">
        <v>217</v>
      </c>
      <c r="B6" s="80">
        <v>1600</v>
      </c>
      <c r="C6" s="81">
        <v>400</v>
      </c>
      <c r="D6" s="39"/>
      <c r="E6" s="81"/>
      <c r="F6" s="80">
        <f>400+1600</f>
        <v>2000</v>
      </c>
      <c r="G6" s="80"/>
      <c r="H6" s="80"/>
      <c r="I6" s="80"/>
      <c r="J6" s="80"/>
      <c r="K6" s="80"/>
      <c r="L6" s="80"/>
      <c r="M6" s="94"/>
    </row>
    <row r="7" spans="1:13" x14ac:dyDescent="0.3">
      <c r="A7" t="s">
        <v>218</v>
      </c>
      <c r="B7" s="80">
        <v>64783.49</v>
      </c>
      <c r="C7" s="81">
        <v>259134</v>
      </c>
      <c r="D7" s="39"/>
      <c r="E7" s="81"/>
      <c r="F7" s="80"/>
      <c r="G7" s="80"/>
      <c r="H7" s="80"/>
      <c r="I7" s="80"/>
      <c r="J7" s="80"/>
      <c r="K7" s="80"/>
      <c r="L7" s="80">
        <f>259134+64783.49</f>
        <v>323917.49</v>
      </c>
      <c r="M7" s="94"/>
    </row>
    <row r="8" spans="1:13" x14ac:dyDescent="0.3">
      <c r="A8" s="63" t="s">
        <v>219</v>
      </c>
      <c r="B8" s="80"/>
      <c r="C8" s="81">
        <v>6253</v>
      </c>
      <c r="D8" s="39"/>
      <c r="E8" s="81"/>
      <c r="F8" s="80"/>
      <c r="G8" s="80"/>
      <c r="H8" s="80"/>
      <c r="I8" s="80"/>
      <c r="J8" s="80"/>
      <c r="K8" s="80"/>
      <c r="L8" s="80">
        <v>6253</v>
      </c>
      <c r="M8" s="94"/>
    </row>
    <row r="9" spans="1:13" x14ac:dyDescent="0.3">
      <c r="A9" t="s">
        <v>220</v>
      </c>
      <c r="B9" s="80">
        <v>1000</v>
      </c>
      <c r="C9" s="81">
        <v>4000</v>
      </c>
      <c r="D9" s="39"/>
      <c r="E9" s="81"/>
      <c r="F9" s="80"/>
      <c r="G9" s="80">
        <f>4000+1000</f>
        <v>5000</v>
      </c>
      <c r="H9" s="80"/>
      <c r="I9" s="80"/>
      <c r="J9" s="80"/>
      <c r="K9" s="80"/>
      <c r="L9" s="80"/>
      <c r="M9" s="94"/>
    </row>
    <row r="10" spans="1:13" x14ac:dyDescent="0.3">
      <c r="A10" s="63" t="s">
        <v>221</v>
      </c>
      <c r="B10" s="80">
        <v>2000</v>
      </c>
      <c r="C10" s="81">
        <v>8000</v>
      </c>
      <c r="D10" s="39"/>
      <c r="E10" s="81"/>
      <c r="F10" s="80">
        <f>8000+2000</f>
        <v>10000</v>
      </c>
      <c r="G10" s="80"/>
      <c r="H10" s="80"/>
      <c r="I10" s="80"/>
      <c r="J10" s="80"/>
      <c r="K10" s="80"/>
      <c r="L10" s="80"/>
      <c r="M10" s="95">
        <v>4</v>
      </c>
    </row>
    <row r="11" spans="1:13" x14ac:dyDescent="0.3">
      <c r="A11" s="63" t="s">
        <v>192</v>
      </c>
      <c r="B11" s="80"/>
      <c r="C11" s="81">
        <f>280000+62305</f>
        <v>342305</v>
      </c>
      <c r="D11" s="39"/>
      <c r="E11" s="81"/>
      <c r="F11" s="80"/>
      <c r="G11" s="80"/>
      <c r="H11" s="80"/>
      <c r="I11" s="80"/>
      <c r="J11" s="80"/>
      <c r="K11" s="80"/>
      <c r="L11" s="80">
        <f>280000+62305</f>
        <v>342305</v>
      </c>
      <c r="M11" s="94"/>
    </row>
    <row r="12" spans="1:13" ht="15" thickBot="1" x14ac:dyDescent="0.35">
      <c r="A12" s="85" t="s">
        <v>213</v>
      </c>
      <c r="B12" s="86">
        <f>SUM(B3:B11)</f>
        <v>97983.489999999991</v>
      </c>
      <c r="C12" s="86">
        <f>SUM(C3:C11)</f>
        <v>974371</v>
      </c>
      <c r="D12" s="46"/>
      <c r="E12" s="86">
        <f>SUM(E3:E11)</f>
        <v>110600</v>
      </c>
      <c r="F12" s="86">
        <f>SUM(F3:F11)</f>
        <v>254279</v>
      </c>
      <c r="G12" s="86">
        <f>SUM(G3:G11)</f>
        <v>35000</v>
      </c>
      <c r="H12" s="86"/>
      <c r="I12" s="86"/>
      <c r="J12" s="86"/>
      <c r="K12" s="86"/>
      <c r="L12" s="86">
        <f>SUM(L3:L11)</f>
        <v>672475.49</v>
      </c>
      <c r="M12" s="96">
        <f>SUM(M3:M11)</f>
        <v>13</v>
      </c>
    </row>
    <row r="13" spans="1:13" ht="15" thickTop="1" x14ac:dyDescent="0.3">
      <c r="B13" s="54"/>
      <c r="C13" s="54"/>
      <c r="D13" s="88"/>
      <c r="E13" s="50"/>
      <c r="F13" s="54"/>
      <c r="G13" s="54"/>
      <c r="H13" s="54"/>
      <c r="I13" s="54"/>
      <c r="J13" s="54"/>
      <c r="K13" s="54"/>
      <c r="L13" s="54"/>
      <c r="M13" s="94"/>
    </row>
    <row r="14" spans="1:13" x14ac:dyDescent="0.3">
      <c r="A14" t="s">
        <v>162</v>
      </c>
      <c r="B14" s="54">
        <f>SUM(B12:C12)</f>
        <v>1072354.49</v>
      </c>
      <c r="C14" s="54"/>
      <c r="D14" s="88"/>
      <c r="E14" s="88"/>
      <c r="F14" s="54"/>
      <c r="G14" s="54"/>
      <c r="H14" s="54"/>
      <c r="I14" s="54"/>
      <c r="J14" s="54"/>
      <c r="K14" s="54"/>
      <c r="L14" s="54"/>
      <c r="M14" s="94"/>
    </row>
    <row r="15" spans="1:13" x14ac:dyDescent="0.3">
      <c r="B15" s="54"/>
      <c r="C15" s="54"/>
      <c r="D15" s="88"/>
      <c r="E15" s="50"/>
      <c r="F15" s="54"/>
      <c r="G15" s="54"/>
      <c r="H15" s="54"/>
      <c r="I15" s="54"/>
      <c r="J15" s="54"/>
      <c r="K15" s="54"/>
      <c r="L15" s="54"/>
      <c r="M15" s="94"/>
    </row>
    <row r="16" spans="1:13" x14ac:dyDescent="0.3">
      <c r="D16" s="88"/>
      <c r="E16" s="70"/>
      <c r="M16" s="94"/>
    </row>
  </sheetData>
  <pageMargins left="0.7" right="0.7" top="0.75" bottom="0.75" header="0.3" footer="0.3"/>
  <pageSetup scale="71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14"/>
  <sheetViews>
    <sheetView workbookViewId="0">
      <selection activeCell="A4" sqref="A4"/>
    </sheetView>
  </sheetViews>
  <sheetFormatPr defaultRowHeight="14.4" x14ac:dyDescent="0.3"/>
  <cols>
    <col min="1" max="1" width="26.5546875" customWidth="1"/>
    <col min="2" max="2" width="12.6640625" customWidth="1"/>
    <col min="3" max="3" width="16.109375" customWidth="1"/>
    <col min="5" max="5" width="11.88671875" customWidth="1"/>
    <col min="6" max="6" width="10.6640625" customWidth="1"/>
    <col min="7" max="7" width="11.6640625" customWidth="1"/>
    <col min="12" max="12" width="13.10937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222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0">
        <v>22000</v>
      </c>
      <c r="C3" s="81">
        <v>88000</v>
      </c>
      <c r="D3" s="39"/>
      <c r="E3" s="81">
        <f>88000+22000</f>
        <v>110000</v>
      </c>
      <c r="F3" s="54"/>
      <c r="G3" s="80"/>
      <c r="H3" s="80"/>
      <c r="I3" s="80"/>
      <c r="J3" s="80"/>
      <c r="K3" s="80"/>
      <c r="L3" s="80"/>
    </row>
    <row r="4" spans="1:13" x14ac:dyDescent="0.3">
      <c r="A4" t="s">
        <v>223</v>
      </c>
      <c r="B4" s="80"/>
      <c r="C4" s="81">
        <v>199710</v>
      </c>
      <c r="D4" s="39"/>
      <c r="E4" s="81"/>
      <c r="F4" s="80"/>
      <c r="G4" s="80"/>
      <c r="H4" s="80"/>
      <c r="I4" s="80"/>
      <c r="J4" s="80"/>
      <c r="K4" s="80"/>
      <c r="L4" s="80">
        <v>199710</v>
      </c>
    </row>
    <row r="5" spans="1:13" x14ac:dyDescent="0.3">
      <c r="A5" t="s">
        <v>224</v>
      </c>
      <c r="B5" s="80"/>
      <c r="C5" s="81">
        <v>22200</v>
      </c>
      <c r="D5" s="39"/>
      <c r="E5" s="81"/>
      <c r="F5" s="80"/>
      <c r="G5" s="80"/>
      <c r="H5" s="80"/>
      <c r="I5" s="80"/>
      <c r="J5" s="80"/>
      <c r="K5" s="80"/>
      <c r="L5" s="80">
        <v>22200</v>
      </c>
    </row>
    <row r="6" spans="1:13" x14ac:dyDescent="0.3">
      <c r="A6" t="s">
        <v>225</v>
      </c>
      <c r="B6" s="80"/>
      <c r="C6" s="81">
        <v>5000</v>
      </c>
      <c r="D6" s="39"/>
      <c r="E6" s="81"/>
      <c r="F6" s="80"/>
      <c r="G6" s="80">
        <v>5000</v>
      </c>
      <c r="H6" s="80"/>
      <c r="I6" s="80"/>
      <c r="J6" s="80"/>
      <c r="K6" s="80"/>
      <c r="L6" s="80"/>
      <c r="M6">
        <v>26</v>
      </c>
    </row>
    <row r="7" spans="1:13" x14ac:dyDescent="0.3">
      <c r="A7" s="63" t="s">
        <v>226</v>
      </c>
      <c r="B7" s="80">
        <v>20000</v>
      </c>
      <c r="C7" s="81">
        <v>80000</v>
      </c>
      <c r="D7" s="39"/>
      <c r="E7" s="81"/>
      <c r="F7" s="80">
        <f>80000+20000</f>
        <v>100000</v>
      </c>
      <c r="G7" s="80"/>
      <c r="H7" s="80"/>
      <c r="I7" s="80"/>
      <c r="J7" s="80"/>
      <c r="K7" s="80"/>
      <c r="L7" s="80"/>
      <c r="M7">
        <v>50</v>
      </c>
    </row>
    <row r="8" spans="1:13" x14ac:dyDescent="0.3">
      <c r="A8" s="63" t="s">
        <v>227</v>
      </c>
      <c r="B8" s="80">
        <v>46000</v>
      </c>
      <c r="C8" s="81">
        <f>64000+120000</f>
        <v>184000</v>
      </c>
      <c r="D8" s="39"/>
      <c r="E8" s="81"/>
      <c r="F8" s="80">
        <v>80000</v>
      </c>
      <c r="G8" s="80">
        <v>150000</v>
      </c>
      <c r="H8" s="80"/>
      <c r="I8" s="80"/>
      <c r="J8" s="80"/>
      <c r="K8" s="80"/>
      <c r="L8" s="80"/>
      <c r="M8">
        <v>30</v>
      </c>
    </row>
    <row r="9" spans="1:13" x14ac:dyDescent="0.3">
      <c r="A9" t="s">
        <v>228</v>
      </c>
      <c r="B9" s="80"/>
      <c r="C9" s="81">
        <v>450000</v>
      </c>
      <c r="D9" s="39"/>
      <c r="E9" s="81"/>
      <c r="F9" s="80"/>
      <c r="G9" s="80"/>
      <c r="H9" s="80"/>
      <c r="I9" s="80"/>
      <c r="J9" s="80"/>
      <c r="K9" s="80"/>
      <c r="L9" s="80">
        <v>450000</v>
      </c>
    </row>
    <row r="10" spans="1:13" x14ac:dyDescent="0.3">
      <c r="A10" t="s">
        <v>229</v>
      </c>
      <c r="B10" s="80">
        <v>32000</v>
      </c>
      <c r="C10" s="81">
        <v>8000</v>
      </c>
      <c r="D10" s="39"/>
      <c r="E10" s="81"/>
      <c r="F10" s="80"/>
      <c r="G10" s="80">
        <v>40000</v>
      </c>
      <c r="H10" s="80"/>
      <c r="I10" s="80"/>
      <c r="J10" s="80"/>
      <c r="K10" s="80"/>
      <c r="L10" s="80"/>
      <c r="M10">
        <v>3</v>
      </c>
    </row>
    <row r="11" spans="1:13" ht="15" thickBot="1" x14ac:dyDescent="0.35">
      <c r="A11" s="85" t="s">
        <v>31</v>
      </c>
      <c r="B11" s="86">
        <f>SUM(B3:B10)</f>
        <v>120000</v>
      </c>
      <c r="C11" s="86">
        <f>SUM(C3:C10)</f>
        <v>1036910</v>
      </c>
      <c r="D11" s="46"/>
      <c r="E11" s="86">
        <f>SUM(E3:E10)</f>
        <v>110000</v>
      </c>
      <c r="F11" s="86">
        <f>SUM(F3:F10)</f>
        <v>180000</v>
      </c>
      <c r="G11" s="86">
        <f>SUM(G3:G10)</f>
        <v>195000</v>
      </c>
      <c r="H11" s="86"/>
      <c r="I11" s="86"/>
      <c r="J11" s="86"/>
      <c r="K11" s="86"/>
      <c r="L11" s="86">
        <f>SUM(L3:L10)</f>
        <v>671910</v>
      </c>
      <c r="M11" s="85">
        <f>SUM(M3:M10)</f>
        <v>109</v>
      </c>
    </row>
    <row r="12" spans="1:13" ht="15" thickTop="1" x14ac:dyDescent="0.3">
      <c r="B12" s="54"/>
      <c r="C12" s="54"/>
      <c r="D12" s="88"/>
      <c r="E12" s="50"/>
      <c r="F12" s="54"/>
      <c r="G12" s="54"/>
      <c r="H12" s="54"/>
      <c r="I12" s="54"/>
      <c r="J12" s="54"/>
      <c r="K12" s="54"/>
      <c r="L12" s="54"/>
    </row>
    <row r="13" spans="1:13" x14ac:dyDescent="0.3">
      <c r="A13" t="s">
        <v>230</v>
      </c>
      <c r="B13" s="54">
        <f>SUM(B11:C11)</f>
        <v>1156910</v>
      </c>
      <c r="C13" s="54"/>
      <c r="D13" s="88"/>
      <c r="E13" s="50"/>
      <c r="F13" s="54"/>
      <c r="G13" s="54"/>
      <c r="H13" s="54"/>
      <c r="I13" s="54"/>
      <c r="J13" s="54"/>
      <c r="K13" s="54"/>
      <c r="L13" s="54"/>
    </row>
    <row r="14" spans="1:13" x14ac:dyDescent="0.3">
      <c r="B14" s="54"/>
      <c r="C14" s="54"/>
      <c r="D14" s="88"/>
      <c r="E14" s="50"/>
      <c r="F14" s="54"/>
      <c r="G14" s="54"/>
      <c r="H14" s="54"/>
      <c r="I14" s="54"/>
      <c r="J14" s="54"/>
      <c r="K14" s="54"/>
      <c r="L14" s="54"/>
    </row>
  </sheetData>
  <pageMargins left="0.7" right="0.7" top="0.75" bottom="0.75" header="0.3" footer="0.3"/>
  <pageSetup scale="6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14"/>
  <sheetViews>
    <sheetView workbookViewId="0">
      <selection activeCell="B14" sqref="B14"/>
    </sheetView>
  </sheetViews>
  <sheetFormatPr defaultRowHeight="14.4" x14ac:dyDescent="0.3"/>
  <cols>
    <col min="1" max="1" width="32.33203125" customWidth="1"/>
    <col min="2" max="2" width="16" customWidth="1"/>
    <col min="3" max="3" width="19.5546875" customWidth="1"/>
    <col min="5" max="5" width="19.5546875" customWidth="1"/>
    <col min="6" max="6" width="11.88671875" customWidth="1"/>
    <col min="8" max="8" width="14.5546875" customWidth="1"/>
    <col min="11" max="11" width="12" customWidth="1"/>
    <col min="12" max="12" width="12.664062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231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0">
        <v>22000</v>
      </c>
      <c r="C3" s="81">
        <v>88000</v>
      </c>
      <c r="D3" s="39"/>
      <c r="E3" s="81">
        <f>88000+22000</f>
        <v>110000</v>
      </c>
      <c r="F3" s="54"/>
      <c r="G3" s="80"/>
      <c r="H3" s="80"/>
      <c r="I3" s="80"/>
      <c r="J3" s="80"/>
      <c r="K3" s="80"/>
      <c r="L3" s="80"/>
    </row>
    <row r="4" spans="1:13" x14ac:dyDescent="0.3">
      <c r="A4" s="63" t="s">
        <v>232</v>
      </c>
      <c r="B4" s="80"/>
      <c r="C4" s="81">
        <v>1250</v>
      </c>
      <c r="D4" s="39"/>
      <c r="E4" s="81"/>
      <c r="F4" s="80"/>
      <c r="G4" s="80"/>
      <c r="H4" s="80"/>
      <c r="I4" s="80"/>
      <c r="J4" s="80"/>
      <c r="K4" s="80">
        <v>1250</v>
      </c>
      <c r="L4" s="80"/>
    </row>
    <row r="5" spans="1:13" x14ac:dyDescent="0.3">
      <c r="A5" t="s">
        <v>233</v>
      </c>
      <c r="B5" s="80"/>
      <c r="C5" s="81">
        <v>425000</v>
      </c>
      <c r="D5" s="39"/>
      <c r="E5" s="81"/>
      <c r="F5" s="80"/>
      <c r="G5" s="80"/>
      <c r="H5" s="80"/>
      <c r="I5" s="80"/>
      <c r="J5" s="80"/>
      <c r="K5" s="80"/>
      <c r="L5" s="80">
        <v>425000</v>
      </c>
    </row>
    <row r="6" spans="1:13" x14ac:dyDescent="0.3">
      <c r="A6" t="s">
        <v>234</v>
      </c>
      <c r="B6" s="80"/>
      <c r="C6" s="81">
        <v>90000</v>
      </c>
      <c r="D6" s="39"/>
      <c r="E6" s="81"/>
      <c r="F6" s="80"/>
      <c r="G6" s="80">
        <v>90000</v>
      </c>
      <c r="H6" s="80"/>
      <c r="I6" s="80"/>
      <c r="J6" s="80"/>
      <c r="K6" s="80"/>
      <c r="L6" s="80"/>
    </row>
    <row r="7" spans="1:13" x14ac:dyDescent="0.3">
      <c r="A7" s="63" t="s">
        <v>235</v>
      </c>
      <c r="B7" s="80">
        <v>36715</v>
      </c>
      <c r="C7" s="81">
        <v>146860</v>
      </c>
      <c r="D7" s="39"/>
      <c r="E7" s="81"/>
      <c r="F7" s="80"/>
      <c r="G7" s="80"/>
      <c r="H7" s="80"/>
      <c r="I7" s="80"/>
      <c r="J7" s="80"/>
      <c r="K7" s="80">
        <f>146860+36715</f>
        <v>183575</v>
      </c>
      <c r="L7" s="80"/>
    </row>
    <row r="8" spans="1:13" x14ac:dyDescent="0.3">
      <c r="A8" s="63" t="s">
        <v>226</v>
      </c>
      <c r="B8" s="80">
        <f>20000+25696.31</f>
        <v>45696.31</v>
      </c>
      <c r="C8" s="81">
        <f>80000+102785</f>
        <v>182785</v>
      </c>
      <c r="D8" s="39"/>
      <c r="E8" s="81"/>
      <c r="F8" s="80">
        <v>100000</v>
      </c>
      <c r="G8" s="80"/>
      <c r="H8" s="82">
        <f>25696.31+102785</f>
        <v>128481.31</v>
      </c>
      <c r="I8" s="80"/>
      <c r="J8" s="80"/>
      <c r="K8" s="80"/>
      <c r="L8" s="80"/>
      <c r="M8">
        <v>104</v>
      </c>
    </row>
    <row r="9" spans="1:13" x14ac:dyDescent="0.3">
      <c r="A9" t="s">
        <v>228</v>
      </c>
      <c r="B9" s="80"/>
      <c r="C9" s="81">
        <v>500000</v>
      </c>
      <c r="D9" s="39"/>
      <c r="E9" s="81"/>
      <c r="F9" s="80"/>
      <c r="G9" s="80"/>
      <c r="H9" s="80"/>
      <c r="I9" s="80"/>
      <c r="J9" s="80"/>
      <c r="K9" s="80"/>
      <c r="L9" s="80">
        <v>500000</v>
      </c>
    </row>
    <row r="10" spans="1:13" x14ac:dyDescent="0.3">
      <c r="A10" t="s">
        <v>236</v>
      </c>
      <c r="B10" s="80">
        <v>1600</v>
      </c>
      <c r="C10" s="81">
        <v>6400</v>
      </c>
      <c r="D10" s="39"/>
      <c r="E10" s="81"/>
      <c r="F10" s="80">
        <f>6400+1600</f>
        <v>8000</v>
      </c>
      <c r="G10" s="80"/>
      <c r="H10" s="80"/>
      <c r="I10" s="80"/>
      <c r="J10" s="80"/>
      <c r="K10" s="80"/>
      <c r="L10" s="80"/>
    </row>
    <row r="11" spans="1:13" x14ac:dyDescent="0.3">
      <c r="A11" t="s">
        <v>237</v>
      </c>
      <c r="B11" s="80">
        <v>5000</v>
      </c>
      <c r="C11" s="81">
        <v>20000</v>
      </c>
      <c r="D11" s="39"/>
      <c r="E11" s="81"/>
      <c r="F11" s="80">
        <f>20000+5000</f>
        <v>25000</v>
      </c>
      <c r="G11" s="80"/>
      <c r="H11" s="80"/>
      <c r="I11" s="80"/>
      <c r="J11" s="80"/>
      <c r="K11" s="80"/>
      <c r="L11" s="80"/>
      <c r="M11">
        <v>2</v>
      </c>
    </row>
    <row r="12" spans="1:13" ht="15" thickBot="1" x14ac:dyDescent="0.35">
      <c r="A12" s="85" t="s">
        <v>31</v>
      </c>
      <c r="B12" s="86">
        <f>SUM(B3:B11)</f>
        <v>111011.31</v>
      </c>
      <c r="C12" s="86">
        <f>SUM(C3:C11)</f>
        <v>1460295</v>
      </c>
      <c r="D12" s="46"/>
      <c r="E12" s="86">
        <f>SUM(E3:E11)</f>
        <v>110000</v>
      </c>
      <c r="F12" s="86">
        <f>SUM(F3:F11)</f>
        <v>133000</v>
      </c>
      <c r="G12" s="86">
        <f>SUM(G3:G11)</f>
        <v>90000</v>
      </c>
      <c r="H12" s="86">
        <f>SUM(H3:H11)</f>
        <v>128481.31</v>
      </c>
      <c r="I12" s="86"/>
      <c r="J12" s="86"/>
      <c r="K12" s="86">
        <f>SUM(K3:K11)</f>
        <v>184825</v>
      </c>
      <c r="L12" s="86">
        <f>SUM(L3:L11)</f>
        <v>925000</v>
      </c>
      <c r="M12" s="85">
        <f>SUM(M3:M11)</f>
        <v>106</v>
      </c>
    </row>
    <row r="13" spans="1:13" ht="15" thickTop="1" x14ac:dyDescent="0.3">
      <c r="B13" s="54"/>
      <c r="C13" s="54"/>
      <c r="D13" s="88"/>
      <c r="E13" s="50"/>
      <c r="F13" s="54"/>
      <c r="G13" s="54"/>
      <c r="H13" s="54"/>
      <c r="I13" s="54"/>
      <c r="J13" s="54"/>
      <c r="K13" s="54"/>
      <c r="L13" s="54"/>
    </row>
    <row r="14" spans="1:13" x14ac:dyDescent="0.3">
      <c r="A14" t="s">
        <v>214</v>
      </c>
      <c r="B14" s="54">
        <f>SUM(B12:C12)</f>
        <v>1571306.31</v>
      </c>
      <c r="C14" s="54"/>
      <c r="D14" s="88"/>
      <c r="E14" s="50"/>
      <c r="F14" s="54"/>
      <c r="G14" s="54"/>
      <c r="H14" s="54"/>
      <c r="I14" s="54"/>
      <c r="J14" s="54"/>
      <c r="K14" s="54"/>
      <c r="L14" s="54"/>
    </row>
  </sheetData>
  <pageMargins left="0.7" right="0.7" top="0.75" bottom="0.75" header="0.3" footer="0.3"/>
  <pageSetup scale="66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15"/>
  <sheetViews>
    <sheetView workbookViewId="0">
      <selection activeCell="A11" sqref="A11:M11"/>
    </sheetView>
  </sheetViews>
  <sheetFormatPr defaultRowHeight="14.4" x14ac:dyDescent="0.3"/>
  <cols>
    <col min="1" max="1" width="30.109375" customWidth="1"/>
    <col min="2" max="2" width="16.6640625" customWidth="1"/>
    <col min="3" max="3" width="15.44140625" customWidth="1"/>
    <col min="7" max="7" width="13" customWidth="1"/>
    <col min="12" max="12" width="11.10937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238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0">
        <v>20000</v>
      </c>
      <c r="C3" s="81">
        <v>79800</v>
      </c>
      <c r="D3" s="39"/>
      <c r="E3" s="81">
        <f>79800+20000</f>
        <v>99800</v>
      </c>
      <c r="F3" s="54"/>
      <c r="G3" s="80"/>
      <c r="H3" s="80"/>
      <c r="I3" s="80"/>
      <c r="J3" s="80"/>
      <c r="K3" s="80"/>
      <c r="L3" s="80"/>
    </row>
    <row r="4" spans="1:13" x14ac:dyDescent="0.3">
      <c r="A4" s="63" t="s">
        <v>239</v>
      </c>
      <c r="B4" s="80">
        <v>55000</v>
      </c>
      <c r="C4" s="81">
        <v>25000</v>
      </c>
      <c r="D4" s="39"/>
      <c r="E4" s="81"/>
      <c r="F4" s="80"/>
      <c r="G4" s="80">
        <v>80000</v>
      </c>
      <c r="H4" s="80"/>
      <c r="I4" s="80"/>
      <c r="J4" s="80"/>
      <c r="K4" s="80"/>
      <c r="L4" s="80"/>
      <c r="M4">
        <v>35</v>
      </c>
    </row>
    <row r="5" spans="1:13" x14ac:dyDescent="0.3">
      <c r="A5" t="s">
        <v>240</v>
      </c>
      <c r="B5" s="80"/>
      <c r="C5" s="81">
        <v>50000</v>
      </c>
      <c r="D5" s="39"/>
      <c r="E5" s="81"/>
      <c r="F5" s="80"/>
      <c r="G5" s="80"/>
      <c r="H5" s="80"/>
      <c r="I5" s="80"/>
      <c r="J5" s="80"/>
      <c r="K5" s="80">
        <v>50000</v>
      </c>
      <c r="L5" s="80"/>
    </row>
    <row r="6" spans="1:13" x14ac:dyDescent="0.3">
      <c r="A6" t="s">
        <v>241</v>
      </c>
      <c r="B6" s="80">
        <v>3000</v>
      </c>
      <c r="C6" s="81">
        <v>12000</v>
      </c>
      <c r="D6" s="39"/>
      <c r="E6" s="81"/>
      <c r="F6" s="80"/>
      <c r="G6" s="80">
        <f>12000+3000</f>
        <v>15000</v>
      </c>
      <c r="H6" s="80"/>
      <c r="I6" s="80"/>
      <c r="J6" s="80"/>
      <c r="K6" s="80"/>
      <c r="L6" s="80"/>
    </row>
    <row r="7" spans="1:13" x14ac:dyDescent="0.3">
      <c r="A7" s="63" t="s">
        <v>242</v>
      </c>
      <c r="B7" s="80"/>
      <c r="C7" s="81">
        <v>10000</v>
      </c>
      <c r="D7" s="39"/>
      <c r="E7" s="81"/>
      <c r="F7" s="80"/>
      <c r="G7" s="80">
        <v>10000</v>
      </c>
      <c r="H7" s="80"/>
      <c r="I7" s="80"/>
      <c r="J7" s="80"/>
      <c r="K7" s="80"/>
      <c r="L7" s="80"/>
      <c r="M7">
        <v>53</v>
      </c>
    </row>
    <row r="8" spans="1:13" x14ac:dyDescent="0.3">
      <c r="A8" s="63" t="s">
        <v>243</v>
      </c>
      <c r="B8" s="80">
        <v>15778.77</v>
      </c>
      <c r="C8" s="81">
        <v>63115</v>
      </c>
      <c r="D8" s="39"/>
      <c r="E8" s="81"/>
      <c r="F8" s="54"/>
      <c r="G8" s="80"/>
      <c r="H8" s="80">
        <f>63115+15778.77</f>
        <v>78893.77</v>
      </c>
      <c r="I8" s="80"/>
      <c r="J8" s="80"/>
      <c r="K8" s="80"/>
      <c r="L8" s="80"/>
      <c r="M8">
        <v>45</v>
      </c>
    </row>
    <row r="9" spans="1:13" x14ac:dyDescent="0.3">
      <c r="A9" t="s">
        <v>244</v>
      </c>
      <c r="B9" s="80">
        <v>3000</v>
      </c>
      <c r="C9" s="81">
        <v>12000</v>
      </c>
      <c r="D9" s="39"/>
      <c r="E9" s="81"/>
      <c r="F9" s="80"/>
      <c r="G9" s="80">
        <f>12000+3000</f>
        <v>15000</v>
      </c>
      <c r="H9" s="80"/>
      <c r="I9" s="80"/>
      <c r="J9" s="80"/>
      <c r="K9" s="80"/>
      <c r="L9" s="80"/>
      <c r="M9">
        <v>2</v>
      </c>
    </row>
    <row r="10" spans="1:13" x14ac:dyDescent="0.3">
      <c r="A10" t="s">
        <v>245</v>
      </c>
      <c r="B10" s="80">
        <v>10000</v>
      </c>
      <c r="C10" s="81">
        <v>40000</v>
      </c>
      <c r="D10" s="39"/>
      <c r="E10" s="81"/>
      <c r="F10" s="80"/>
      <c r="G10" s="80"/>
      <c r="H10" s="80"/>
      <c r="I10" s="80"/>
      <c r="J10" s="80">
        <f>40000+10000</f>
        <v>50000</v>
      </c>
      <c r="K10" s="80"/>
      <c r="L10" s="80"/>
      <c r="M10">
        <v>8</v>
      </c>
    </row>
    <row r="11" spans="1:13" x14ac:dyDescent="0.3">
      <c r="A11" s="63" t="s">
        <v>228</v>
      </c>
      <c r="B11" s="80"/>
      <c r="C11" s="81">
        <v>500000</v>
      </c>
      <c r="D11" s="39"/>
      <c r="E11" s="81"/>
      <c r="F11" s="80"/>
      <c r="G11" s="80"/>
      <c r="H11" s="80"/>
      <c r="I11" s="80"/>
      <c r="J11" s="80"/>
      <c r="K11" s="80"/>
      <c r="L11" s="80">
        <v>500000</v>
      </c>
    </row>
    <row r="12" spans="1:13" ht="15" thickBot="1" x14ac:dyDescent="0.35">
      <c r="A12" s="85" t="s">
        <v>31</v>
      </c>
      <c r="B12" s="86">
        <f>SUM(B3:B11)</f>
        <v>106778.77</v>
      </c>
      <c r="C12" s="86">
        <f>SUM(C3:C11)</f>
        <v>791915</v>
      </c>
      <c r="D12" s="46"/>
      <c r="E12" s="86">
        <f>SUM(E3:E11)</f>
        <v>99800</v>
      </c>
      <c r="F12" s="86"/>
      <c r="G12" s="86">
        <f>SUM(G3:G11)</f>
        <v>120000</v>
      </c>
      <c r="H12" s="86">
        <f>SUM(H3:H11)</f>
        <v>78893.77</v>
      </c>
      <c r="I12" s="86"/>
      <c r="J12" s="86">
        <f>SUM(J3:J11)</f>
        <v>50000</v>
      </c>
      <c r="K12" s="86">
        <f>SUM(K3:K11)</f>
        <v>50000</v>
      </c>
      <c r="L12" s="86">
        <f>SUM(L3:L11)</f>
        <v>500000</v>
      </c>
      <c r="M12" s="96">
        <f>SUM(M3:M11)</f>
        <v>143</v>
      </c>
    </row>
    <row r="13" spans="1:13" ht="15" thickTop="1" x14ac:dyDescent="0.3">
      <c r="A13" s="70"/>
      <c r="B13" s="50"/>
      <c r="C13" s="50"/>
      <c r="D13" s="88"/>
      <c r="E13" s="50"/>
      <c r="F13" s="50"/>
      <c r="G13" s="50"/>
      <c r="H13" s="50"/>
      <c r="I13" s="50"/>
      <c r="J13" s="50"/>
      <c r="K13" s="50"/>
      <c r="L13" s="50"/>
      <c r="M13" s="70"/>
    </row>
    <row r="14" spans="1:13" x14ac:dyDescent="0.3">
      <c r="A14" t="s">
        <v>214</v>
      </c>
      <c r="B14" s="54">
        <f>SUM(B12:C12)</f>
        <v>898693.77</v>
      </c>
      <c r="C14" s="54"/>
      <c r="D14" s="88"/>
      <c r="E14" s="50"/>
      <c r="F14" s="54"/>
      <c r="G14" s="54"/>
      <c r="H14" s="54"/>
      <c r="I14" s="54"/>
      <c r="J14" s="54"/>
      <c r="K14" s="54"/>
      <c r="L14" s="54"/>
    </row>
    <row r="15" spans="1:13" x14ac:dyDescent="0.3">
      <c r="B15" s="54"/>
      <c r="C15" s="54"/>
      <c r="D15" s="88"/>
      <c r="E15" s="50"/>
      <c r="F15" s="54"/>
      <c r="G15" s="54"/>
      <c r="H15" s="54"/>
      <c r="I15" s="54"/>
      <c r="J15" s="54"/>
      <c r="K15" s="54"/>
      <c r="L15" s="54"/>
    </row>
  </sheetData>
  <pageMargins left="0.7" right="0.7" top="0.75" bottom="0.75" header="0.3" footer="0.3"/>
  <pageSetup scale="76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14"/>
  <sheetViews>
    <sheetView workbookViewId="0">
      <selection activeCell="M12" sqref="M3:M12"/>
    </sheetView>
  </sheetViews>
  <sheetFormatPr defaultRowHeight="14.4" x14ac:dyDescent="0.3"/>
  <cols>
    <col min="1" max="1" width="25.6640625" customWidth="1"/>
    <col min="2" max="2" width="12.88671875" customWidth="1"/>
    <col min="3" max="3" width="12.109375" customWidth="1"/>
    <col min="5" max="5" width="12.5546875" customWidth="1"/>
    <col min="10" max="10" width="11.4414062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246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0">
        <v>20000</v>
      </c>
      <c r="C3" s="81">
        <f>79800+12500</f>
        <v>92300</v>
      </c>
      <c r="D3" s="39"/>
      <c r="E3" s="81">
        <f>79800+20000+12500</f>
        <v>112300</v>
      </c>
      <c r="F3" s="54"/>
      <c r="G3" s="80"/>
      <c r="H3" s="80"/>
      <c r="I3" s="80"/>
      <c r="J3" s="80"/>
      <c r="K3" s="80"/>
      <c r="L3" s="80"/>
    </row>
    <row r="4" spans="1:13" x14ac:dyDescent="0.3">
      <c r="A4" t="s">
        <v>240</v>
      </c>
      <c r="B4" s="80"/>
      <c r="C4" s="81">
        <v>2500000</v>
      </c>
      <c r="D4" s="39"/>
      <c r="E4" s="81"/>
      <c r="F4" s="80"/>
      <c r="G4" s="80"/>
      <c r="H4" s="80"/>
      <c r="I4" s="80"/>
      <c r="J4" s="80">
        <v>2500000</v>
      </c>
      <c r="K4" s="80"/>
      <c r="L4" s="80"/>
      <c r="M4">
        <v>234</v>
      </c>
    </row>
    <row r="5" spans="1:13" x14ac:dyDescent="0.3">
      <c r="A5" t="s">
        <v>247</v>
      </c>
      <c r="B5" s="80"/>
      <c r="C5" s="81">
        <v>30566</v>
      </c>
      <c r="D5" s="39"/>
      <c r="E5" s="81"/>
      <c r="F5" s="80"/>
      <c r="G5" s="80"/>
      <c r="H5" s="80">
        <v>30566</v>
      </c>
      <c r="I5" s="80"/>
      <c r="J5" s="80"/>
      <c r="K5" s="80"/>
      <c r="L5" s="80"/>
      <c r="M5">
        <v>6</v>
      </c>
    </row>
    <row r="6" spans="1:13" x14ac:dyDescent="0.3">
      <c r="A6" t="s">
        <v>248</v>
      </c>
      <c r="B6" s="80">
        <v>24000</v>
      </c>
      <c r="C6" s="81">
        <v>6000</v>
      </c>
      <c r="D6" s="39"/>
      <c r="E6" s="81"/>
      <c r="F6" s="80"/>
      <c r="G6" s="80">
        <f>6000+24000</f>
        <v>30000</v>
      </c>
      <c r="H6" s="80"/>
      <c r="I6" s="80"/>
      <c r="J6" s="80"/>
      <c r="K6" s="80"/>
      <c r="L6" s="80"/>
      <c r="M6">
        <v>3</v>
      </c>
    </row>
    <row r="7" spans="1:13" x14ac:dyDescent="0.3">
      <c r="A7" s="63" t="s">
        <v>249</v>
      </c>
      <c r="B7" s="80">
        <v>3500</v>
      </c>
      <c r="C7" s="81"/>
      <c r="D7" s="39"/>
      <c r="E7" s="81"/>
      <c r="F7" s="80"/>
      <c r="G7" s="80"/>
      <c r="H7" s="82">
        <v>3500</v>
      </c>
      <c r="I7" s="80"/>
      <c r="J7" s="80"/>
      <c r="K7" s="80"/>
      <c r="L7" s="80"/>
    </row>
    <row r="8" spans="1:13" x14ac:dyDescent="0.3">
      <c r="A8" s="63" t="s">
        <v>250</v>
      </c>
      <c r="B8" s="80"/>
      <c r="C8" s="81">
        <v>70000</v>
      </c>
      <c r="D8" s="39"/>
      <c r="E8" s="81"/>
      <c r="F8" s="80"/>
      <c r="G8" s="80"/>
      <c r="H8" s="80"/>
      <c r="I8" s="80"/>
      <c r="J8" s="80">
        <v>70000</v>
      </c>
      <c r="K8" s="80"/>
      <c r="L8" s="80"/>
    </row>
    <row r="9" spans="1:13" x14ac:dyDescent="0.3">
      <c r="A9" t="s">
        <v>251</v>
      </c>
      <c r="B9" s="80">
        <v>5000</v>
      </c>
      <c r="C9" s="81"/>
      <c r="D9" s="39"/>
      <c r="E9" s="81"/>
      <c r="F9" s="80"/>
      <c r="G9" s="80">
        <v>5000</v>
      </c>
      <c r="H9" s="80"/>
      <c r="I9" s="80"/>
      <c r="J9" s="80"/>
      <c r="K9" s="80"/>
      <c r="L9" s="80"/>
      <c r="M9">
        <v>5</v>
      </c>
    </row>
    <row r="10" spans="1:13" x14ac:dyDescent="0.3">
      <c r="A10" t="s">
        <v>252</v>
      </c>
      <c r="B10" s="80">
        <v>62500</v>
      </c>
      <c r="C10" s="81"/>
      <c r="D10" s="39"/>
      <c r="E10" s="81"/>
      <c r="F10" s="80"/>
      <c r="G10" s="80">
        <v>62500</v>
      </c>
      <c r="H10" s="80"/>
      <c r="I10" s="80"/>
      <c r="J10" s="80"/>
      <c r="K10" s="80"/>
      <c r="L10" s="80"/>
      <c r="M10">
        <v>5</v>
      </c>
    </row>
    <row r="11" spans="1:13" x14ac:dyDescent="0.3">
      <c r="A11" t="s">
        <v>253</v>
      </c>
      <c r="B11" s="80">
        <v>30000</v>
      </c>
      <c r="C11" s="81">
        <v>120000</v>
      </c>
      <c r="D11" s="39"/>
      <c r="E11" s="81"/>
      <c r="F11" s="80"/>
      <c r="G11" s="80"/>
      <c r="H11" s="80"/>
      <c r="I11" s="80"/>
      <c r="J11" s="80">
        <f>120000+30000</f>
        <v>150000</v>
      </c>
      <c r="K11" s="80"/>
      <c r="L11" s="80"/>
      <c r="M11">
        <v>6</v>
      </c>
    </row>
    <row r="12" spans="1:13" ht="15" thickBot="1" x14ac:dyDescent="0.35">
      <c r="A12" s="85" t="s">
        <v>213</v>
      </c>
      <c r="B12" s="86">
        <f>SUM(B3:B11)</f>
        <v>145000</v>
      </c>
      <c r="C12" s="86">
        <f>SUM(C3:C11)</f>
        <v>2818866</v>
      </c>
      <c r="D12" s="46"/>
      <c r="E12" s="86">
        <f>SUM(E3:E11)</f>
        <v>112300</v>
      </c>
      <c r="F12" s="86"/>
      <c r="G12" s="86">
        <f>SUM(G3:G11)</f>
        <v>97500</v>
      </c>
      <c r="H12" s="86">
        <f>SUM(H3:H11)</f>
        <v>34066</v>
      </c>
      <c r="I12" s="86"/>
      <c r="J12" s="86">
        <f>SUM(J3:J11)</f>
        <v>2720000</v>
      </c>
      <c r="K12" s="86"/>
      <c r="L12" s="86"/>
      <c r="M12" s="85">
        <f>SUM(M3:M11)</f>
        <v>259</v>
      </c>
    </row>
    <row r="13" spans="1:13" ht="15" thickTop="1" x14ac:dyDescent="0.3">
      <c r="B13" s="54"/>
      <c r="C13" s="54"/>
      <c r="D13" s="88"/>
      <c r="E13" s="50"/>
      <c r="F13" s="54"/>
      <c r="G13" s="54"/>
      <c r="H13" s="54"/>
      <c r="I13" s="54"/>
      <c r="J13" s="54"/>
      <c r="K13" s="54"/>
      <c r="L13" s="54"/>
    </row>
    <row r="14" spans="1:13" x14ac:dyDescent="0.3">
      <c r="A14" t="s">
        <v>33</v>
      </c>
      <c r="B14" s="54">
        <f>SUM(B12:C12)</f>
        <v>2963866</v>
      </c>
      <c r="C14" s="54"/>
      <c r="D14" s="88"/>
      <c r="E14" s="50"/>
      <c r="F14" s="54"/>
      <c r="G14" s="54"/>
      <c r="H14" s="54"/>
      <c r="I14" s="54"/>
      <c r="J14" s="54"/>
      <c r="K14" s="54"/>
      <c r="L14" s="54"/>
    </row>
  </sheetData>
  <pageMargins left="0.7" right="0.7" top="0.75" bottom="0.75" header="0.3" footer="0.3"/>
  <pageSetup scale="82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16"/>
  <sheetViews>
    <sheetView workbookViewId="0">
      <selection activeCell="M13" sqref="M3:M13"/>
    </sheetView>
  </sheetViews>
  <sheetFormatPr defaultRowHeight="14.4" x14ac:dyDescent="0.3"/>
  <cols>
    <col min="1" max="1" width="30.6640625" customWidth="1"/>
    <col min="2" max="2" width="12.5546875" customWidth="1"/>
    <col min="3" max="3" width="14.109375" customWidth="1"/>
    <col min="7" max="7" width="12.33203125" customWidth="1"/>
    <col min="8" max="8" width="12.6640625" customWidth="1"/>
    <col min="10" max="10" width="13.3320312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254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0">
        <v>20000</v>
      </c>
      <c r="C3" s="81">
        <v>79700</v>
      </c>
      <c r="D3" s="39"/>
      <c r="E3" s="81">
        <f>79700+20000</f>
        <v>99700</v>
      </c>
      <c r="F3" s="54"/>
      <c r="G3" s="80"/>
      <c r="H3" s="80"/>
      <c r="I3" s="80"/>
      <c r="J3" s="80"/>
      <c r="K3" s="80"/>
      <c r="L3" s="80"/>
    </row>
    <row r="4" spans="1:13" x14ac:dyDescent="0.3">
      <c r="A4" s="63" t="s">
        <v>255</v>
      </c>
      <c r="B4" s="80">
        <v>500</v>
      </c>
      <c r="C4" s="81">
        <v>2000</v>
      </c>
      <c r="D4" s="39"/>
      <c r="E4" s="81"/>
      <c r="F4" s="80">
        <f>2000+500</f>
        <v>2500</v>
      </c>
      <c r="G4" s="80"/>
      <c r="H4" s="80"/>
      <c r="I4" s="80"/>
      <c r="J4" s="80"/>
      <c r="K4" s="80"/>
      <c r="L4" s="80"/>
    </row>
    <row r="5" spans="1:13" x14ac:dyDescent="0.3">
      <c r="A5" t="s">
        <v>256</v>
      </c>
      <c r="B5" s="80"/>
      <c r="C5" s="81">
        <v>98000</v>
      </c>
      <c r="D5" s="39"/>
      <c r="E5" s="81"/>
      <c r="F5" s="80"/>
      <c r="G5" s="80">
        <v>98000</v>
      </c>
      <c r="H5" s="80"/>
      <c r="I5" s="80"/>
      <c r="J5" s="80"/>
      <c r="K5" s="80"/>
      <c r="L5" s="80"/>
      <c r="M5">
        <v>165</v>
      </c>
    </row>
    <row r="6" spans="1:13" x14ac:dyDescent="0.3">
      <c r="A6" t="s">
        <v>257</v>
      </c>
      <c r="B6" s="80">
        <v>4800</v>
      </c>
      <c r="C6" s="81">
        <v>19200</v>
      </c>
      <c r="D6" s="39"/>
      <c r="E6" s="81"/>
      <c r="F6" s="80"/>
      <c r="G6" s="80"/>
      <c r="H6" s="80"/>
      <c r="I6" s="80"/>
      <c r="J6" s="80">
        <f>19200+4800</f>
        <v>24000</v>
      </c>
      <c r="K6" s="80"/>
      <c r="L6" s="80"/>
    </row>
    <row r="7" spans="1:13" x14ac:dyDescent="0.3">
      <c r="A7" t="s">
        <v>258</v>
      </c>
      <c r="B7" s="80"/>
      <c r="C7" s="81">
        <v>60000</v>
      </c>
      <c r="D7" s="39"/>
      <c r="E7" s="81"/>
      <c r="F7" s="80"/>
      <c r="G7" s="80">
        <v>60000</v>
      </c>
      <c r="H7" s="80"/>
      <c r="I7" s="80"/>
      <c r="J7" s="80"/>
      <c r="K7" s="80"/>
      <c r="L7" s="80"/>
      <c r="M7">
        <v>6</v>
      </c>
    </row>
    <row r="8" spans="1:13" x14ac:dyDescent="0.3">
      <c r="A8" t="s">
        <v>259</v>
      </c>
      <c r="B8" s="80">
        <v>76000</v>
      </c>
      <c r="C8" s="81">
        <v>304000</v>
      </c>
      <c r="D8" s="39"/>
      <c r="E8" s="81"/>
      <c r="F8" s="80"/>
      <c r="G8" s="80"/>
      <c r="H8" s="80"/>
      <c r="I8" s="80"/>
      <c r="J8" s="80">
        <f>304000+76000</f>
        <v>380000</v>
      </c>
      <c r="K8" s="80"/>
      <c r="L8" s="80"/>
      <c r="M8">
        <v>20</v>
      </c>
    </row>
    <row r="9" spans="1:13" x14ac:dyDescent="0.3">
      <c r="A9" t="s">
        <v>260</v>
      </c>
      <c r="B9" s="80"/>
      <c r="C9" s="81">
        <v>402887</v>
      </c>
      <c r="D9" s="39"/>
      <c r="E9" s="81"/>
      <c r="F9" s="54"/>
      <c r="G9" s="80"/>
      <c r="H9" s="80">
        <v>402887</v>
      </c>
      <c r="I9" s="80"/>
      <c r="J9" s="80"/>
      <c r="K9" s="80"/>
      <c r="L9" s="80"/>
      <c r="M9">
        <v>30</v>
      </c>
    </row>
    <row r="10" spans="1:13" x14ac:dyDescent="0.3">
      <c r="A10" s="63" t="s">
        <v>250</v>
      </c>
      <c r="B10" s="80">
        <v>30000</v>
      </c>
      <c r="C10" s="81">
        <v>50000</v>
      </c>
      <c r="D10" s="39"/>
      <c r="E10" s="81"/>
      <c r="F10" s="80"/>
      <c r="G10" s="80"/>
      <c r="H10" s="80"/>
      <c r="I10" s="80"/>
      <c r="J10" s="80">
        <f>50000+30000</f>
        <v>80000</v>
      </c>
      <c r="K10" s="80"/>
      <c r="L10" s="80"/>
    </row>
    <row r="11" spans="1:13" x14ac:dyDescent="0.3">
      <c r="A11" t="s">
        <v>261</v>
      </c>
      <c r="B11" s="80">
        <v>56000</v>
      </c>
      <c r="C11" s="81">
        <v>14000</v>
      </c>
      <c r="D11" s="39"/>
      <c r="E11" s="81"/>
      <c r="F11" s="80"/>
      <c r="G11" s="80">
        <f>14000+56000</f>
        <v>70000</v>
      </c>
      <c r="H11" s="80"/>
      <c r="I11" s="80"/>
      <c r="J11" s="80"/>
      <c r="K11" s="80"/>
      <c r="L11" s="80"/>
      <c r="M11">
        <v>2</v>
      </c>
    </row>
    <row r="12" spans="1:13" x14ac:dyDescent="0.3">
      <c r="A12" t="s">
        <v>262</v>
      </c>
      <c r="B12" s="80">
        <v>30000</v>
      </c>
      <c r="C12" s="81">
        <v>120000</v>
      </c>
      <c r="D12" s="39"/>
      <c r="E12" s="81"/>
      <c r="F12" s="80"/>
      <c r="G12" s="80"/>
      <c r="H12" s="80"/>
      <c r="I12" s="80"/>
      <c r="J12" s="80">
        <f>120000+30000</f>
        <v>150000</v>
      </c>
      <c r="K12" s="80"/>
      <c r="L12" s="80"/>
    </row>
    <row r="13" spans="1:13" ht="15" thickBot="1" x14ac:dyDescent="0.35">
      <c r="A13" s="85" t="s">
        <v>213</v>
      </c>
      <c r="B13" s="86">
        <f>SUM(B3:B12)</f>
        <v>217300</v>
      </c>
      <c r="C13" s="86">
        <f>SUM(C3:C12)</f>
        <v>1149787</v>
      </c>
      <c r="D13" s="46"/>
      <c r="E13" s="86">
        <f>SUM(E3:E12)</f>
        <v>99700</v>
      </c>
      <c r="F13" s="86">
        <f>SUM(F3:F12)</f>
        <v>2500</v>
      </c>
      <c r="G13" s="86">
        <f>SUM(G3:G12)</f>
        <v>228000</v>
      </c>
      <c r="H13" s="86">
        <f>SUM(H3:H12)</f>
        <v>402887</v>
      </c>
      <c r="I13" s="86"/>
      <c r="J13" s="86">
        <f>SUM(J3:J12)</f>
        <v>634000</v>
      </c>
      <c r="K13" s="86"/>
      <c r="L13" s="86"/>
      <c r="M13" s="85">
        <f>SUM(M3:M12)</f>
        <v>223</v>
      </c>
    </row>
    <row r="14" spans="1:13" ht="15" thickTop="1" x14ac:dyDescent="0.3">
      <c r="B14" s="54"/>
      <c r="C14" s="54"/>
      <c r="D14" s="88"/>
      <c r="E14" s="50"/>
      <c r="F14" s="54"/>
      <c r="G14" s="54"/>
      <c r="H14" s="54"/>
      <c r="I14" s="54"/>
      <c r="J14" s="54"/>
      <c r="K14" s="54"/>
      <c r="L14" s="54"/>
    </row>
    <row r="15" spans="1:13" x14ac:dyDescent="0.3">
      <c r="A15" t="s">
        <v>162</v>
      </c>
      <c r="B15" s="54">
        <f>SUM(B13:C13)</f>
        <v>1367087</v>
      </c>
      <c r="C15" s="54"/>
      <c r="D15" s="88"/>
      <c r="E15" s="50"/>
      <c r="F15" s="54"/>
      <c r="G15" s="54"/>
      <c r="H15" s="54"/>
      <c r="I15" s="54"/>
      <c r="J15" s="54"/>
      <c r="K15" s="54"/>
      <c r="L15" s="54"/>
    </row>
    <row r="16" spans="1:13" x14ac:dyDescent="0.3">
      <c r="D16" s="88"/>
      <c r="E16" s="70"/>
    </row>
  </sheetData>
  <pageMargins left="0.7" right="0.7" top="0.75" bottom="0.75" header="0.3" footer="0.3"/>
  <pageSetup scale="72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26"/>
  <sheetViews>
    <sheetView topLeftCell="A10" workbookViewId="0">
      <selection activeCell="B23" sqref="B3:B23"/>
    </sheetView>
  </sheetViews>
  <sheetFormatPr defaultRowHeight="14.4" x14ac:dyDescent="0.3"/>
  <cols>
    <col min="1" max="1" width="40.109375" customWidth="1"/>
    <col min="2" max="2" width="15.5546875" customWidth="1"/>
    <col min="3" max="3" width="17.44140625" customWidth="1"/>
    <col min="6" max="6" width="17" customWidth="1"/>
    <col min="7" max="7" width="14.109375" customWidth="1"/>
    <col min="10" max="10" width="15.10937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263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0">
        <v>20000</v>
      </c>
      <c r="C3" s="81">
        <v>73800</v>
      </c>
      <c r="D3" s="39"/>
      <c r="E3" s="81">
        <f>73800+20000</f>
        <v>93800</v>
      </c>
      <c r="F3" s="54"/>
      <c r="G3" s="80"/>
      <c r="H3" s="80"/>
      <c r="I3" s="80"/>
      <c r="J3" s="80"/>
      <c r="K3" s="80"/>
      <c r="L3" s="80"/>
    </row>
    <row r="4" spans="1:13" x14ac:dyDescent="0.3">
      <c r="A4" t="s">
        <v>264</v>
      </c>
      <c r="B4" s="80">
        <v>520</v>
      </c>
      <c r="C4" s="81">
        <v>2080</v>
      </c>
      <c r="D4" s="39"/>
      <c r="E4" s="81"/>
      <c r="F4" s="80">
        <f>2080+520</f>
        <v>2600</v>
      </c>
      <c r="G4" s="80"/>
      <c r="H4" s="80"/>
      <c r="I4" s="80"/>
      <c r="J4" s="80"/>
      <c r="K4" s="80"/>
      <c r="L4" s="80"/>
    </row>
    <row r="5" spans="1:13" x14ac:dyDescent="0.3">
      <c r="A5" s="63" t="s">
        <v>265</v>
      </c>
      <c r="B5" s="80">
        <f>1400+11000</f>
        <v>12400</v>
      </c>
      <c r="C5" s="81">
        <f>44000+5600</f>
        <v>49600</v>
      </c>
      <c r="D5" s="39"/>
      <c r="E5" s="81"/>
      <c r="F5" s="80"/>
      <c r="G5" s="80">
        <v>7000</v>
      </c>
      <c r="H5" s="80"/>
      <c r="I5" s="80"/>
      <c r="J5" s="80">
        <v>55000</v>
      </c>
      <c r="K5" s="80"/>
      <c r="L5" s="80"/>
      <c r="M5">
        <v>6</v>
      </c>
    </row>
    <row r="6" spans="1:13" x14ac:dyDescent="0.3">
      <c r="A6" s="63" t="s">
        <v>266</v>
      </c>
      <c r="B6" s="80"/>
      <c r="C6" s="81">
        <v>10000</v>
      </c>
      <c r="D6" s="39"/>
      <c r="E6" s="81"/>
      <c r="F6" s="80"/>
      <c r="G6" s="80"/>
      <c r="H6" s="80"/>
      <c r="I6" s="80"/>
      <c r="J6" s="80">
        <v>10000</v>
      </c>
      <c r="K6" s="80"/>
      <c r="L6" s="80"/>
      <c r="M6">
        <v>45</v>
      </c>
    </row>
    <row r="7" spans="1:13" x14ac:dyDescent="0.3">
      <c r="A7" s="63" t="s">
        <v>180</v>
      </c>
      <c r="B7" s="80">
        <v>140000</v>
      </c>
      <c r="C7" s="81">
        <v>35000</v>
      </c>
      <c r="D7" s="39"/>
      <c r="E7" s="81"/>
      <c r="F7" s="80"/>
      <c r="G7" s="80"/>
      <c r="H7" s="80"/>
      <c r="I7" s="80"/>
      <c r="J7" s="80">
        <v>175000</v>
      </c>
      <c r="K7" s="80"/>
      <c r="L7" s="80"/>
    </row>
    <row r="8" spans="1:13" x14ac:dyDescent="0.3">
      <c r="A8" s="63" t="s">
        <v>267</v>
      </c>
      <c r="B8" s="80">
        <v>5000</v>
      </c>
      <c r="C8" s="83"/>
      <c r="D8" s="39"/>
      <c r="E8" s="83"/>
      <c r="F8" s="80">
        <v>5000</v>
      </c>
      <c r="G8" s="80"/>
      <c r="H8" s="80"/>
      <c r="I8" s="80"/>
      <c r="J8" s="80"/>
      <c r="K8" s="80"/>
      <c r="L8" s="80"/>
    </row>
    <row r="9" spans="1:13" x14ac:dyDescent="0.3">
      <c r="A9" s="63" t="s">
        <v>268</v>
      </c>
      <c r="B9" s="80">
        <v>1200</v>
      </c>
      <c r="C9" s="81">
        <v>4800</v>
      </c>
      <c r="D9" s="39"/>
      <c r="E9" s="81"/>
      <c r="F9" s="80">
        <f>4800+1200</f>
        <v>6000</v>
      </c>
      <c r="G9" s="80"/>
      <c r="H9" s="80"/>
      <c r="I9" s="80"/>
      <c r="J9" s="80"/>
      <c r="K9" s="80"/>
      <c r="L9" s="80"/>
    </row>
    <row r="10" spans="1:13" x14ac:dyDescent="0.3">
      <c r="A10" t="s">
        <v>269</v>
      </c>
      <c r="B10" s="80">
        <v>6000</v>
      </c>
      <c r="C10" s="81">
        <v>24000</v>
      </c>
      <c r="D10" s="39"/>
      <c r="E10" s="81"/>
      <c r="F10" s="80"/>
      <c r="G10" s="80">
        <f>24000+6000</f>
        <v>30000</v>
      </c>
      <c r="H10" s="80"/>
      <c r="I10" s="80"/>
      <c r="J10" s="80"/>
      <c r="K10" s="80"/>
      <c r="L10" s="80"/>
      <c r="M10">
        <v>6</v>
      </c>
    </row>
    <row r="11" spans="1:13" x14ac:dyDescent="0.3">
      <c r="A11" s="63" t="s">
        <v>270</v>
      </c>
      <c r="B11" s="80">
        <v>20000</v>
      </c>
      <c r="C11" s="81">
        <v>80000</v>
      </c>
      <c r="D11" s="39"/>
      <c r="E11" s="81"/>
      <c r="F11" s="80"/>
      <c r="G11" s="80">
        <f>80000+20000</f>
        <v>100000</v>
      </c>
      <c r="H11" s="80"/>
      <c r="I11" s="80"/>
      <c r="J11" s="80"/>
      <c r="K11" s="80"/>
      <c r="L11" s="80"/>
      <c r="M11">
        <v>17</v>
      </c>
    </row>
    <row r="12" spans="1:13" x14ac:dyDescent="0.3">
      <c r="A12" t="s">
        <v>271</v>
      </c>
      <c r="B12" s="80">
        <v>500</v>
      </c>
      <c r="C12" s="81">
        <v>2000</v>
      </c>
      <c r="D12" s="39"/>
      <c r="E12" s="81"/>
      <c r="F12" s="80">
        <f>2000+500</f>
        <v>2500</v>
      </c>
      <c r="G12" s="80"/>
      <c r="H12" s="80"/>
      <c r="I12" s="80"/>
      <c r="J12" s="80"/>
      <c r="K12" s="80"/>
      <c r="L12" s="80"/>
      <c r="M12">
        <v>6</v>
      </c>
    </row>
    <row r="13" spans="1:13" x14ac:dyDescent="0.3">
      <c r="A13" t="s">
        <v>249</v>
      </c>
      <c r="B13" s="80">
        <v>65000</v>
      </c>
      <c r="C13" s="81">
        <v>260000</v>
      </c>
      <c r="D13" s="39"/>
      <c r="E13" s="81"/>
      <c r="F13" s="80"/>
      <c r="G13" s="80">
        <f>260000+65000</f>
        <v>325000</v>
      </c>
      <c r="H13" s="80"/>
      <c r="I13" s="80"/>
      <c r="J13" s="80"/>
      <c r="K13" s="80"/>
      <c r="L13" s="80"/>
      <c r="M13">
        <v>70</v>
      </c>
    </row>
    <row r="14" spans="1:13" x14ac:dyDescent="0.3">
      <c r="A14" t="s">
        <v>272</v>
      </c>
      <c r="B14" s="80">
        <v>3000</v>
      </c>
      <c r="C14" s="81">
        <v>12000</v>
      </c>
      <c r="D14" s="39"/>
      <c r="E14" s="81"/>
      <c r="F14" s="80"/>
      <c r="G14" s="80">
        <f>12000+3000</f>
        <v>15000</v>
      </c>
      <c r="H14" s="80"/>
      <c r="I14" s="80"/>
      <c r="J14" s="80"/>
      <c r="K14" s="80"/>
      <c r="L14" s="80"/>
      <c r="M14">
        <v>2</v>
      </c>
    </row>
    <row r="15" spans="1:13" x14ac:dyDescent="0.3">
      <c r="A15" s="63" t="s">
        <v>273</v>
      </c>
      <c r="B15" s="80">
        <v>4780</v>
      </c>
      <c r="C15" s="81">
        <v>19120</v>
      </c>
      <c r="D15" s="39"/>
      <c r="E15" s="81"/>
      <c r="F15" s="80">
        <f>19120+4780</f>
        <v>23900</v>
      </c>
      <c r="G15" s="80"/>
      <c r="H15" s="80"/>
      <c r="I15" s="80"/>
      <c r="J15" s="80"/>
      <c r="K15" s="80"/>
      <c r="L15" s="80"/>
    </row>
    <row r="16" spans="1:13" x14ac:dyDescent="0.3">
      <c r="A16" s="63" t="s">
        <v>274</v>
      </c>
      <c r="B16" s="80">
        <v>20000</v>
      </c>
      <c r="C16" s="81">
        <v>15000</v>
      </c>
      <c r="D16" s="39"/>
      <c r="E16" s="81"/>
      <c r="F16" s="80">
        <f>15000+20000</f>
        <v>35000</v>
      </c>
      <c r="G16" s="80"/>
      <c r="H16" s="80"/>
      <c r="I16" s="80"/>
      <c r="J16" s="80"/>
      <c r="K16" s="80"/>
      <c r="L16" s="80"/>
      <c r="M16">
        <v>2</v>
      </c>
    </row>
    <row r="17" spans="1:13" x14ac:dyDescent="0.3">
      <c r="A17" s="63" t="s">
        <v>275</v>
      </c>
      <c r="B17" s="80">
        <v>8160</v>
      </c>
      <c r="C17" s="81">
        <v>2040</v>
      </c>
      <c r="D17" s="39"/>
      <c r="E17" s="81"/>
      <c r="F17" s="80">
        <f>2040+8160</f>
        <v>10200</v>
      </c>
      <c r="G17" s="80"/>
      <c r="H17" s="80"/>
      <c r="I17" s="80"/>
      <c r="J17" s="80"/>
      <c r="K17" s="80"/>
      <c r="L17" s="80"/>
    </row>
    <row r="18" spans="1:13" x14ac:dyDescent="0.3">
      <c r="A18" s="63" t="s">
        <v>276</v>
      </c>
      <c r="B18" s="80">
        <v>25000</v>
      </c>
      <c r="C18" s="81">
        <v>75000</v>
      </c>
      <c r="D18" s="39"/>
      <c r="E18" s="81"/>
      <c r="F18" s="80">
        <v>100000</v>
      </c>
      <c r="G18" s="80"/>
      <c r="H18" s="80"/>
      <c r="I18" s="80"/>
      <c r="J18" s="80"/>
      <c r="K18" s="80"/>
      <c r="L18" s="80"/>
    </row>
    <row r="19" spans="1:13" x14ac:dyDescent="0.3">
      <c r="A19" s="63" t="s">
        <v>277</v>
      </c>
      <c r="B19" s="80">
        <v>1066</v>
      </c>
      <c r="C19" s="83">
        <v>4265</v>
      </c>
      <c r="D19" s="39"/>
      <c r="E19" s="83"/>
      <c r="F19" s="80">
        <f>1066+4265</f>
        <v>5331</v>
      </c>
      <c r="G19" s="80"/>
      <c r="H19" s="80"/>
      <c r="I19" s="80"/>
      <c r="J19" s="80"/>
      <c r="K19" s="80"/>
      <c r="L19" s="80"/>
    </row>
    <row r="20" spans="1:13" x14ac:dyDescent="0.3">
      <c r="A20" s="63" t="s">
        <v>262</v>
      </c>
      <c r="B20" s="80">
        <v>2500</v>
      </c>
      <c r="C20" s="81">
        <v>10000</v>
      </c>
      <c r="D20" s="39"/>
      <c r="E20" s="81"/>
      <c r="F20" s="80">
        <f>10000+2500</f>
        <v>12500</v>
      </c>
      <c r="G20" s="80"/>
      <c r="H20" s="80"/>
      <c r="I20" s="80"/>
      <c r="J20" s="80"/>
      <c r="K20" s="80"/>
      <c r="L20" s="80"/>
    </row>
    <row r="21" spans="1:13" x14ac:dyDescent="0.3">
      <c r="A21" s="63" t="s">
        <v>190</v>
      </c>
      <c r="B21" s="80">
        <v>4000</v>
      </c>
      <c r="C21" s="81">
        <v>16000</v>
      </c>
      <c r="D21" s="39"/>
      <c r="E21" s="81"/>
      <c r="F21" s="80"/>
      <c r="G21" s="80">
        <f>16000+4000</f>
        <v>20000</v>
      </c>
      <c r="H21" s="80"/>
      <c r="I21" s="80"/>
      <c r="J21" s="80"/>
      <c r="K21" s="80"/>
      <c r="L21" s="80"/>
      <c r="M21">
        <v>5</v>
      </c>
    </row>
    <row r="22" spans="1:13" x14ac:dyDescent="0.3">
      <c r="A22" t="s">
        <v>278</v>
      </c>
      <c r="B22" s="80">
        <v>7500</v>
      </c>
      <c r="C22" s="81">
        <v>67500</v>
      </c>
      <c r="D22" s="39"/>
      <c r="E22" s="81"/>
      <c r="F22" s="80"/>
      <c r="G22" s="80">
        <f>67500+7500</f>
        <v>75000</v>
      </c>
      <c r="H22" s="80"/>
      <c r="I22" s="80"/>
      <c r="J22" s="80"/>
      <c r="K22" s="80"/>
      <c r="L22" s="80"/>
      <c r="M22">
        <v>18</v>
      </c>
    </row>
    <row r="23" spans="1:13" ht="15" thickBot="1" x14ac:dyDescent="0.35">
      <c r="A23" s="85" t="s">
        <v>31</v>
      </c>
      <c r="B23" s="86">
        <f>SUM(B3:B22)</f>
        <v>346626</v>
      </c>
      <c r="C23" s="86">
        <f>SUM(C3:C22)</f>
        <v>762205</v>
      </c>
      <c r="D23" s="46"/>
      <c r="E23" s="86">
        <f>SUM(E3:E22)</f>
        <v>93800</v>
      </c>
      <c r="F23" s="86">
        <f>SUM(F3:F22)</f>
        <v>203031</v>
      </c>
      <c r="G23" s="86">
        <f>SUM(G3:G22)</f>
        <v>572000</v>
      </c>
      <c r="H23" s="86"/>
      <c r="I23" s="86"/>
      <c r="J23" s="86">
        <f>SUM(J3:J22)</f>
        <v>240000</v>
      </c>
      <c r="K23" s="86"/>
      <c r="L23" s="86"/>
      <c r="M23" s="85">
        <f>SUM(M3:M22)</f>
        <v>177</v>
      </c>
    </row>
    <row r="24" spans="1:13" ht="15" thickTop="1" x14ac:dyDescent="0.3">
      <c r="B24" s="54"/>
      <c r="C24" s="54"/>
      <c r="D24" s="88"/>
      <c r="E24" s="50"/>
      <c r="F24" s="54"/>
      <c r="G24" s="54"/>
      <c r="H24" s="54"/>
      <c r="I24" s="54"/>
      <c r="J24" s="54"/>
      <c r="K24" s="54"/>
      <c r="L24" s="54"/>
    </row>
    <row r="25" spans="1:13" x14ac:dyDescent="0.3">
      <c r="A25" t="s">
        <v>162</v>
      </c>
      <c r="B25" s="54">
        <f>SUM(B23:C23)</f>
        <v>1108831</v>
      </c>
      <c r="C25" s="54"/>
      <c r="D25" s="88"/>
      <c r="E25" s="50"/>
      <c r="F25" s="54"/>
      <c r="G25" s="54"/>
      <c r="H25" s="54"/>
      <c r="I25" s="54"/>
      <c r="J25" s="54"/>
      <c r="K25" s="54"/>
      <c r="L25" s="54"/>
    </row>
    <row r="26" spans="1:13" x14ac:dyDescent="0.3">
      <c r="D26" s="88"/>
      <c r="E26" s="70"/>
    </row>
  </sheetData>
  <pageMargins left="0.7" right="0.7" top="0.75" bottom="0.75" header="0.3" footer="0.3"/>
  <pageSetup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9FCC-1F8F-48B8-B547-049D41E1D1A3}">
  <sheetPr>
    <pageSetUpPr fitToPage="1"/>
  </sheetPr>
  <dimension ref="A1:O20"/>
  <sheetViews>
    <sheetView topLeftCell="A13" workbookViewId="0">
      <selection activeCell="H16" sqref="H16"/>
    </sheetView>
  </sheetViews>
  <sheetFormatPr defaultRowHeight="14.4" x14ac:dyDescent="0.3"/>
  <cols>
    <col min="1" max="1" width="39.77734375" bestFit="1" customWidth="1"/>
    <col min="2" max="3" width="12.6640625" bestFit="1" customWidth="1"/>
    <col min="4" max="5" width="11.109375" bestFit="1" customWidth="1"/>
    <col min="8" max="9" width="11.109375" bestFit="1" customWidth="1"/>
    <col min="11" max="11" width="12.21875" bestFit="1" customWidth="1"/>
    <col min="12" max="12" width="12.88671875" bestFit="1" customWidth="1"/>
    <col min="14" max="14" width="13.88671875" bestFit="1" customWidth="1"/>
    <col min="15" max="15" width="14.88671875" bestFit="1" customWidth="1"/>
  </cols>
  <sheetData>
    <row r="1" spans="1:15" ht="15" thickBot="1" x14ac:dyDescent="0.35">
      <c r="A1" s="439" t="s">
        <v>0</v>
      </c>
      <c r="B1" s="440"/>
      <c r="C1" s="441"/>
      <c r="D1" s="440" t="s">
        <v>1</v>
      </c>
      <c r="E1" s="440"/>
      <c r="F1" s="440"/>
      <c r="G1" s="440"/>
      <c r="H1" s="440"/>
      <c r="I1" s="440"/>
      <c r="J1" s="440"/>
      <c r="K1" s="440"/>
      <c r="L1" s="440"/>
      <c r="M1" s="440"/>
      <c r="N1" s="442" t="s">
        <v>376</v>
      </c>
      <c r="O1" s="443"/>
    </row>
    <row r="2" spans="1:15" ht="87" thickBot="1" x14ac:dyDescent="0.35">
      <c r="A2" s="242" t="s">
        <v>456</v>
      </c>
      <c r="B2" s="178" t="s">
        <v>3</v>
      </c>
      <c r="C2" s="290" t="s">
        <v>4</v>
      </c>
      <c r="D2" s="358" t="s">
        <v>5</v>
      </c>
      <c r="E2" s="359" t="s">
        <v>6</v>
      </c>
      <c r="F2" s="360" t="s">
        <v>341</v>
      </c>
      <c r="G2" s="359" t="s">
        <v>7</v>
      </c>
      <c r="H2" s="360" t="s">
        <v>355</v>
      </c>
      <c r="I2" s="359" t="s">
        <v>8</v>
      </c>
      <c r="J2" s="359" t="s">
        <v>9</v>
      </c>
      <c r="K2" s="360" t="s">
        <v>343</v>
      </c>
      <c r="L2" s="359" t="s">
        <v>11</v>
      </c>
      <c r="M2" s="361" t="s">
        <v>12</v>
      </c>
      <c r="N2" s="242" t="s">
        <v>407</v>
      </c>
      <c r="O2" s="235" t="s">
        <v>353</v>
      </c>
    </row>
    <row r="3" spans="1:15" x14ac:dyDescent="0.3">
      <c r="A3" s="314" t="s">
        <v>352</v>
      </c>
      <c r="B3" s="315">
        <v>94700</v>
      </c>
      <c r="C3" s="364">
        <v>387000</v>
      </c>
      <c r="D3" s="384">
        <f>SUM(B3,C3)</f>
        <v>481700</v>
      </c>
      <c r="E3" s="368"/>
      <c r="F3" s="368"/>
      <c r="G3" s="368"/>
      <c r="H3" s="368"/>
      <c r="I3" s="368"/>
      <c r="J3" s="368"/>
      <c r="K3" s="368"/>
      <c r="L3" s="368"/>
      <c r="M3" s="378">
        <v>4</v>
      </c>
      <c r="N3" s="390">
        <v>244000</v>
      </c>
      <c r="O3" s="389"/>
    </row>
    <row r="4" spans="1:15" x14ac:dyDescent="0.3">
      <c r="A4" s="332" t="s">
        <v>446</v>
      </c>
      <c r="B4" s="394">
        <f>H4*0.2</f>
        <v>7351.2000000000007</v>
      </c>
      <c r="C4" s="365">
        <f>H4*0.8</f>
        <v>29404.800000000003</v>
      </c>
      <c r="D4" s="367"/>
      <c r="E4" s="368"/>
      <c r="F4" s="368"/>
      <c r="G4" s="368"/>
      <c r="H4" s="368">
        <v>36756</v>
      </c>
      <c r="I4" s="368"/>
      <c r="J4" s="368"/>
      <c r="K4" s="368"/>
      <c r="L4" s="368"/>
      <c r="M4" s="378">
        <v>1</v>
      </c>
      <c r="N4" s="380">
        <v>80400</v>
      </c>
      <c r="O4" s="374">
        <v>182244</v>
      </c>
    </row>
    <row r="5" spans="1:15" x14ac:dyDescent="0.3">
      <c r="A5" s="332" t="s">
        <v>447</v>
      </c>
      <c r="B5" s="394">
        <f t="shared" ref="B5:B12" si="0">H5*0.2</f>
        <v>16593.400000000001</v>
      </c>
      <c r="C5" s="365">
        <f t="shared" ref="C5:C12" si="1">H5*0.8</f>
        <v>66373.600000000006</v>
      </c>
      <c r="D5" s="367"/>
      <c r="E5" s="368"/>
      <c r="F5" s="368"/>
      <c r="G5" s="368"/>
      <c r="H5" s="368">
        <v>82967</v>
      </c>
      <c r="I5" s="368"/>
      <c r="J5" s="368"/>
      <c r="K5" s="368"/>
      <c r="L5" s="368"/>
      <c r="M5" s="378">
        <v>12</v>
      </c>
      <c r="N5" s="380">
        <v>750000</v>
      </c>
      <c r="O5" s="374">
        <v>1346033</v>
      </c>
    </row>
    <row r="6" spans="1:15" x14ac:dyDescent="0.3">
      <c r="A6" s="354" t="s">
        <v>424</v>
      </c>
      <c r="B6" s="394">
        <f t="shared" si="0"/>
        <v>6122</v>
      </c>
      <c r="C6" s="365">
        <f t="shared" si="1"/>
        <v>24488</v>
      </c>
      <c r="D6" s="367"/>
      <c r="E6" s="368"/>
      <c r="F6" s="368"/>
      <c r="G6" s="368"/>
      <c r="H6" s="368">
        <v>30610</v>
      </c>
      <c r="I6" s="368"/>
      <c r="J6" s="368"/>
      <c r="K6" s="368"/>
      <c r="L6" s="368"/>
      <c r="M6" s="378">
        <v>10</v>
      </c>
      <c r="N6" s="380">
        <v>489600</v>
      </c>
      <c r="O6" s="374">
        <v>519390</v>
      </c>
    </row>
    <row r="7" spans="1:15" x14ac:dyDescent="0.3">
      <c r="A7" s="332" t="s">
        <v>448</v>
      </c>
      <c r="B7" s="394">
        <f t="shared" si="0"/>
        <v>8600</v>
      </c>
      <c r="C7" s="365">
        <f t="shared" si="1"/>
        <v>34400</v>
      </c>
      <c r="D7" s="367"/>
      <c r="E7" s="368"/>
      <c r="F7" s="368"/>
      <c r="G7" s="368"/>
      <c r="H7" s="368">
        <v>43000</v>
      </c>
      <c r="I7" s="368"/>
      <c r="J7" s="368"/>
      <c r="K7" s="368"/>
      <c r="L7" s="368"/>
      <c r="M7" s="378">
        <v>15</v>
      </c>
      <c r="N7" s="380">
        <v>600000</v>
      </c>
      <c r="O7" s="374"/>
    </row>
    <row r="8" spans="1:15" x14ac:dyDescent="0.3">
      <c r="A8" s="332" t="s">
        <v>449</v>
      </c>
      <c r="B8" s="394">
        <f t="shared" si="0"/>
        <v>7484.6</v>
      </c>
      <c r="C8" s="365">
        <f t="shared" si="1"/>
        <v>29938.400000000001</v>
      </c>
      <c r="D8" s="367"/>
      <c r="E8" s="368"/>
      <c r="F8" s="368"/>
      <c r="G8" s="368"/>
      <c r="H8" s="368">
        <v>37423</v>
      </c>
      <c r="I8" s="368"/>
      <c r="J8" s="368"/>
      <c r="K8" s="368"/>
      <c r="L8" s="368"/>
      <c r="M8" s="378">
        <v>16</v>
      </c>
      <c r="N8" s="380">
        <v>503248</v>
      </c>
      <c r="O8" s="374">
        <v>263233</v>
      </c>
    </row>
    <row r="9" spans="1:15" x14ac:dyDescent="0.3">
      <c r="A9" s="355" t="s">
        <v>450</v>
      </c>
      <c r="B9" s="394">
        <f t="shared" si="0"/>
        <v>6000</v>
      </c>
      <c r="C9" s="365">
        <f t="shared" si="1"/>
        <v>24000</v>
      </c>
      <c r="D9" s="370"/>
      <c r="E9" s="356"/>
      <c r="F9" s="356"/>
      <c r="G9" s="356"/>
      <c r="H9" s="368">
        <v>30000</v>
      </c>
      <c r="I9" s="356"/>
      <c r="J9" s="356"/>
      <c r="K9" s="356"/>
      <c r="L9" s="356"/>
      <c r="M9" s="371">
        <v>6</v>
      </c>
      <c r="N9" s="370">
        <v>180000</v>
      </c>
      <c r="O9" s="356"/>
    </row>
    <row r="10" spans="1:15" s="141" customFormat="1" x14ac:dyDescent="0.3">
      <c r="A10" s="355" t="s">
        <v>453</v>
      </c>
      <c r="B10" s="394">
        <f t="shared" si="0"/>
        <v>2628.8</v>
      </c>
      <c r="C10" s="365">
        <f t="shared" si="1"/>
        <v>10515.2</v>
      </c>
      <c r="D10" s="370"/>
      <c r="E10" s="356"/>
      <c r="F10" s="356"/>
      <c r="G10" s="356"/>
      <c r="H10" s="368">
        <v>13144</v>
      </c>
      <c r="I10" s="356"/>
      <c r="J10" s="356"/>
      <c r="K10" s="356"/>
      <c r="L10" s="356"/>
      <c r="M10" s="371">
        <v>2</v>
      </c>
      <c r="N10" s="370">
        <v>75000</v>
      </c>
      <c r="O10" s="356">
        <v>86856</v>
      </c>
    </row>
    <row r="11" spans="1:15" x14ac:dyDescent="0.3">
      <c r="A11" s="355" t="s">
        <v>451</v>
      </c>
      <c r="B11" s="394">
        <f t="shared" si="0"/>
        <v>11699.800000000001</v>
      </c>
      <c r="C11" s="365">
        <f t="shared" si="1"/>
        <v>46799.200000000004</v>
      </c>
      <c r="D11" s="370"/>
      <c r="E11" s="356"/>
      <c r="F11" s="356"/>
      <c r="G11" s="356"/>
      <c r="H11" s="368">
        <v>58499</v>
      </c>
      <c r="I11" s="356"/>
      <c r="J11" s="356"/>
      <c r="K11" s="356"/>
      <c r="L11" s="356"/>
      <c r="M11" s="371">
        <v>19</v>
      </c>
      <c r="N11" s="370">
        <v>608000</v>
      </c>
      <c r="O11" s="356">
        <v>466501</v>
      </c>
    </row>
    <row r="12" spans="1:15" x14ac:dyDescent="0.3">
      <c r="A12" s="355" t="s">
        <v>452</v>
      </c>
      <c r="B12" s="394">
        <f t="shared" si="0"/>
        <v>17200</v>
      </c>
      <c r="C12" s="365">
        <f t="shared" si="1"/>
        <v>68800</v>
      </c>
      <c r="D12" s="370"/>
      <c r="E12" s="356"/>
      <c r="F12" s="356"/>
      <c r="G12" s="356"/>
      <c r="H12" s="368">
        <v>86000</v>
      </c>
      <c r="I12" s="368"/>
      <c r="J12" s="356"/>
      <c r="K12" s="356"/>
      <c r="L12" s="356"/>
      <c r="M12" s="371">
        <v>8</v>
      </c>
      <c r="N12" s="370">
        <v>750000</v>
      </c>
      <c r="O12" s="356"/>
    </row>
    <row r="13" spans="1:15" s="141" customFormat="1" x14ac:dyDescent="0.3">
      <c r="A13" s="355" t="s">
        <v>454</v>
      </c>
      <c r="B13" s="394">
        <f>I13*0.2</f>
        <v>15022</v>
      </c>
      <c r="C13" s="365">
        <f>I13*0.8</f>
        <v>60088</v>
      </c>
      <c r="D13" s="370"/>
      <c r="E13" s="356"/>
      <c r="F13" s="356"/>
      <c r="G13" s="356"/>
      <c r="H13" s="368"/>
      <c r="I13" s="356">
        <v>75110</v>
      </c>
      <c r="J13" s="356"/>
      <c r="K13" s="356"/>
      <c r="L13" s="356"/>
      <c r="M13" s="371">
        <v>20</v>
      </c>
      <c r="N13" s="370">
        <v>1090000</v>
      </c>
      <c r="O13" s="356">
        <v>424890</v>
      </c>
    </row>
    <row r="14" spans="1:15" s="141" customFormat="1" x14ac:dyDescent="0.3">
      <c r="A14" s="355" t="s">
        <v>455</v>
      </c>
      <c r="B14" s="394">
        <f>K14*0.2</f>
        <v>70000</v>
      </c>
      <c r="C14" s="365">
        <f>K14*0.8</f>
        <v>280000</v>
      </c>
      <c r="D14" s="370"/>
      <c r="E14" s="356"/>
      <c r="F14" s="356"/>
      <c r="G14" s="356"/>
      <c r="H14" s="368"/>
      <c r="I14" s="356"/>
      <c r="J14" s="356"/>
      <c r="K14" s="356">
        <v>350000</v>
      </c>
      <c r="L14" s="356"/>
      <c r="M14" s="371"/>
      <c r="N14" s="370"/>
      <c r="O14" s="356">
        <v>27650000</v>
      </c>
    </row>
    <row r="15" spans="1:15" x14ac:dyDescent="0.3">
      <c r="A15" s="396" t="s">
        <v>432</v>
      </c>
      <c r="B15" s="394">
        <v>15000</v>
      </c>
      <c r="C15" s="395">
        <v>60000</v>
      </c>
      <c r="D15" s="370"/>
      <c r="E15" s="356">
        <v>75000</v>
      </c>
      <c r="F15" s="356"/>
      <c r="G15" s="356"/>
      <c r="H15" s="356"/>
      <c r="I15" s="356"/>
      <c r="J15" s="356"/>
      <c r="K15" s="356"/>
      <c r="L15" s="356"/>
      <c r="M15" s="392"/>
      <c r="N15" s="370"/>
      <c r="O15" s="356"/>
    </row>
    <row r="16" spans="1:15" x14ac:dyDescent="0.3">
      <c r="A16" s="332" t="s">
        <v>354</v>
      </c>
      <c r="B16" s="394">
        <v>13272</v>
      </c>
      <c r="C16" s="365">
        <v>19447</v>
      </c>
      <c r="D16" s="401">
        <v>30869</v>
      </c>
      <c r="E16" s="368"/>
      <c r="F16" s="368"/>
      <c r="G16" s="368"/>
      <c r="H16" s="368"/>
      <c r="I16" s="368"/>
      <c r="J16" s="368"/>
      <c r="K16" s="368"/>
      <c r="L16" s="368"/>
      <c r="M16" s="378"/>
      <c r="N16" s="330"/>
      <c r="O16" s="362"/>
    </row>
    <row r="17" spans="1:15" x14ac:dyDescent="0.3">
      <c r="A17" s="356" t="s">
        <v>434</v>
      </c>
      <c r="B17" s="394">
        <v>9000</v>
      </c>
      <c r="C17" s="395">
        <v>36000</v>
      </c>
      <c r="D17" s="370">
        <v>45000</v>
      </c>
      <c r="E17" s="356"/>
      <c r="F17" s="356"/>
      <c r="G17" s="356"/>
      <c r="H17" s="356"/>
      <c r="I17" s="356"/>
      <c r="J17" s="356"/>
      <c r="K17" s="356"/>
      <c r="L17" s="356"/>
      <c r="M17" s="392">
        <v>1</v>
      </c>
      <c r="N17" s="370"/>
      <c r="O17" s="356"/>
    </row>
    <row r="18" spans="1:15" ht="15" thickBot="1" x14ac:dyDescent="0.35">
      <c r="A18" s="245" t="s">
        <v>31</v>
      </c>
      <c r="B18" s="287">
        <f>SUM(B3:B17)</f>
        <v>300673.8</v>
      </c>
      <c r="C18" s="295">
        <f>SUM(C3:C17)</f>
        <v>1177254.2</v>
      </c>
      <c r="D18" s="224">
        <f>SUM(D3:D17)</f>
        <v>557569</v>
      </c>
      <c r="E18" s="372">
        <f>SUM(E3:E17)</f>
        <v>75000</v>
      </c>
      <c r="F18" s="372">
        <f>SUM(F3:F8)</f>
        <v>0</v>
      </c>
      <c r="G18" s="372">
        <f>SUM(G3:G8)</f>
        <v>0</v>
      </c>
      <c r="H18" s="372">
        <f>SUM(H3:H17)</f>
        <v>418399</v>
      </c>
      <c r="I18" s="372">
        <f>SUM(I3:I17)</f>
        <v>75110</v>
      </c>
      <c r="J18" s="372">
        <f>SUM(J3:J8)</f>
        <v>0</v>
      </c>
      <c r="K18" s="372">
        <f>SUM(K3:K17)</f>
        <v>350000</v>
      </c>
      <c r="L18" s="372">
        <f>SUM(L3:L17)</f>
        <v>0</v>
      </c>
      <c r="M18" s="393">
        <f>SUM(M3:M17)</f>
        <v>114</v>
      </c>
      <c r="N18" s="391">
        <f>SUM(N3:N17)</f>
        <v>5370248</v>
      </c>
      <c r="O18" s="376">
        <f>SUM(O3:O17)</f>
        <v>30939147</v>
      </c>
    </row>
    <row r="19" spans="1:15" ht="15" thickBot="1" x14ac:dyDescent="0.35">
      <c r="A19" s="167" t="s">
        <v>162</v>
      </c>
      <c r="B19" s="351">
        <f>SUM(D18:L18)</f>
        <v>1476078</v>
      </c>
      <c r="C19" s="436"/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</row>
    <row r="20" spans="1:15" x14ac:dyDescent="0.3">
      <c r="A20" s="438"/>
      <c r="B20" s="438"/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</row>
  </sheetData>
  <mergeCells count="5">
    <mergeCell ref="A1:C1"/>
    <mergeCell ref="D1:M1"/>
    <mergeCell ref="N1:O1"/>
    <mergeCell ref="C19:O20"/>
    <mergeCell ref="A20:B20"/>
  </mergeCells>
  <pageMargins left="0.7" right="0.7" top="0.75" bottom="0.75" header="0.3" footer="0.3"/>
  <pageSetup scale="61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M16"/>
  <sheetViews>
    <sheetView workbookViewId="0">
      <selection activeCell="B16" sqref="B16"/>
    </sheetView>
  </sheetViews>
  <sheetFormatPr defaultRowHeight="14.4" x14ac:dyDescent="0.3"/>
  <cols>
    <col min="1" max="1" width="30.44140625" customWidth="1"/>
    <col min="2" max="2" width="16.5546875" customWidth="1"/>
    <col min="3" max="3" width="17.109375" customWidth="1"/>
    <col min="7" max="7" width="17.5546875" customWidth="1"/>
    <col min="8" max="8" width="17.664062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279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6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0">
        <v>20000</v>
      </c>
      <c r="C3" s="81">
        <v>72000</v>
      </c>
      <c r="D3" s="39"/>
      <c r="E3" s="81">
        <f>72000+20000</f>
        <v>92000</v>
      </c>
      <c r="F3" s="54"/>
      <c r="G3" s="80"/>
      <c r="H3" s="80"/>
      <c r="I3" s="80"/>
      <c r="J3" s="80"/>
      <c r="K3" s="80"/>
      <c r="L3" s="80"/>
    </row>
    <row r="4" spans="1:13" x14ac:dyDescent="0.3">
      <c r="A4" t="s">
        <v>280</v>
      </c>
      <c r="B4" s="80"/>
      <c r="C4" s="81">
        <v>40000</v>
      </c>
      <c r="D4" s="39"/>
      <c r="E4" s="81"/>
      <c r="F4" s="80">
        <v>40000</v>
      </c>
      <c r="G4" s="80"/>
      <c r="H4" s="80"/>
      <c r="I4" s="80"/>
      <c r="J4" s="80"/>
      <c r="K4" s="80"/>
      <c r="L4" s="80"/>
    </row>
    <row r="5" spans="1:13" x14ac:dyDescent="0.3">
      <c r="A5" t="s">
        <v>281</v>
      </c>
      <c r="B5" s="80"/>
      <c r="C5" s="81">
        <v>100000</v>
      </c>
      <c r="D5" s="39"/>
      <c r="E5" s="81"/>
      <c r="F5" s="80"/>
      <c r="G5" s="80">
        <v>100000</v>
      </c>
      <c r="H5" s="80"/>
      <c r="I5" s="80"/>
      <c r="J5" s="80"/>
      <c r="K5" s="80"/>
      <c r="L5" s="80"/>
      <c r="M5">
        <v>278</v>
      </c>
    </row>
    <row r="6" spans="1:13" x14ac:dyDescent="0.3">
      <c r="A6" t="s">
        <v>282</v>
      </c>
      <c r="B6" s="80"/>
      <c r="C6" s="81">
        <v>153066</v>
      </c>
      <c r="D6" s="39"/>
      <c r="E6" s="81"/>
      <c r="F6" s="80"/>
      <c r="G6" s="80"/>
      <c r="H6" s="80">
        <v>153066</v>
      </c>
      <c r="I6" s="80"/>
      <c r="J6" s="80"/>
      <c r="K6" s="80"/>
      <c r="L6" s="80"/>
      <c r="M6">
        <v>32</v>
      </c>
    </row>
    <row r="7" spans="1:13" x14ac:dyDescent="0.3">
      <c r="A7" s="63" t="s">
        <v>283</v>
      </c>
      <c r="B7" s="80">
        <v>14363.39</v>
      </c>
      <c r="C7" s="81">
        <v>57454</v>
      </c>
      <c r="D7" s="39"/>
      <c r="E7" s="81"/>
      <c r="F7" s="54"/>
      <c r="G7" s="80"/>
      <c r="H7" s="80">
        <f>57454+14363.39</f>
        <v>71817.39</v>
      </c>
      <c r="I7" s="80"/>
      <c r="J7" s="80"/>
      <c r="K7" s="80"/>
      <c r="L7" s="80"/>
      <c r="M7">
        <v>5</v>
      </c>
    </row>
    <row r="8" spans="1:13" x14ac:dyDescent="0.3">
      <c r="A8" t="s">
        <v>284</v>
      </c>
      <c r="B8" s="80">
        <v>16000</v>
      </c>
      <c r="C8" s="81">
        <v>4000</v>
      </c>
      <c r="D8" s="39"/>
      <c r="E8" s="81"/>
      <c r="F8" s="80"/>
      <c r="G8" s="80">
        <f>4000+16000</f>
        <v>20000</v>
      </c>
      <c r="H8" s="80"/>
      <c r="I8" s="80"/>
      <c r="J8" s="80"/>
      <c r="K8" s="80"/>
      <c r="L8" s="80"/>
    </row>
    <row r="9" spans="1:13" x14ac:dyDescent="0.3">
      <c r="A9" t="s">
        <v>285</v>
      </c>
      <c r="B9" s="80">
        <v>800</v>
      </c>
      <c r="C9" s="81">
        <v>3200</v>
      </c>
      <c r="D9" s="39"/>
      <c r="E9" s="81"/>
      <c r="F9" s="80">
        <f>3200+800</f>
        <v>4000</v>
      </c>
      <c r="G9" s="80"/>
      <c r="H9" s="80"/>
      <c r="I9" s="80"/>
      <c r="J9" s="80"/>
      <c r="K9" s="80"/>
      <c r="L9" s="80"/>
    </row>
    <row r="10" spans="1:13" x14ac:dyDescent="0.3">
      <c r="A10" t="s">
        <v>286</v>
      </c>
      <c r="B10" s="80">
        <v>5340.68</v>
      </c>
      <c r="C10" s="81"/>
      <c r="D10" s="39"/>
      <c r="E10" s="81"/>
      <c r="F10" s="80"/>
      <c r="G10" s="80">
        <v>5340.68</v>
      </c>
      <c r="H10" s="80"/>
      <c r="I10" s="80"/>
      <c r="J10" s="80"/>
      <c r="K10" s="80"/>
      <c r="L10" s="80"/>
    </row>
    <row r="11" spans="1:13" x14ac:dyDescent="0.3">
      <c r="A11" t="s">
        <v>287</v>
      </c>
      <c r="B11" s="80">
        <v>500</v>
      </c>
      <c r="C11" s="81">
        <v>2000</v>
      </c>
      <c r="D11" s="39"/>
      <c r="E11" s="81"/>
      <c r="F11" s="80">
        <f>2000+500</f>
        <v>2500</v>
      </c>
      <c r="G11" s="80"/>
      <c r="H11" s="80"/>
      <c r="I11" s="80"/>
      <c r="J11" s="80"/>
      <c r="K11" s="80"/>
      <c r="L11" s="80"/>
    </row>
    <row r="12" spans="1:13" x14ac:dyDescent="0.3">
      <c r="A12" t="s">
        <v>251</v>
      </c>
      <c r="B12" s="80">
        <v>4000</v>
      </c>
      <c r="C12" s="81">
        <v>1000</v>
      </c>
      <c r="D12" s="39"/>
      <c r="E12" s="81"/>
      <c r="F12" s="80"/>
      <c r="G12" s="80">
        <f>1000+4000</f>
        <v>5000</v>
      </c>
      <c r="H12" s="80"/>
      <c r="I12" s="80"/>
      <c r="J12" s="80"/>
      <c r="K12" s="80"/>
      <c r="L12" s="80"/>
      <c r="M12">
        <v>4</v>
      </c>
    </row>
    <row r="13" spans="1:13" x14ac:dyDescent="0.3">
      <c r="A13" t="s">
        <v>190</v>
      </c>
      <c r="B13" s="80">
        <v>6000</v>
      </c>
      <c r="C13" s="81">
        <v>24000</v>
      </c>
      <c r="D13" s="39"/>
      <c r="E13" s="81"/>
      <c r="F13" s="80"/>
      <c r="G13" s="80">
        <f>24000+6000</f>
        <v>30000</v>
      </c>
      <c r="H13" s="80"/>
      <c r="I13" s="80"/>
      <c r="J13" s="80"/>
      <c r="K13" s="80"/>
      <c r="L13" s="80"/>
      <c r="M13">
        <v>9</v>
      </c>
    </row>
    <row r="14" spans="1:13" ht="15" thickBot="1" x14ac:dyDescent="0.35">
      <c r="A14" s="85" t="s">
        <v>31</v>
      </c>
      <c r="B14" s="86">
        <f>SUM(B3:B13)</f>
        <v>67004.070000000007</v>
      </c>
      <c r="C14" s="86">
        <f>SUM(C3:C13)</f>
        <v>456720</v>
      </c>
      <c r="D14" s="46"/>
      <c r="E14" s="86">
        <f>SUM(E3:E13)</f>
        <v>92000</v>
      </c>
      <c r="F14" s="86">
        <f>SUM(F3:F13)</f>
        <v>46500</v>
      </c>
      <c r="G14" s="86">
        <f>SUM(G3:G13)</f>
        <v>160340.68</v>
      </c>
      <c r="H14" s="86">
        <f>SUM(H3:H13)</f>
        <v>224883.39</v>
      </c>
      <c r="I14" s="86"/>
      <c r="J14" s="86"/>
      <c r="K14" s="86"/>
      <c r="L14" s="86"/>
      <c r="M14" s="85">
        <f>SUM(M3:M13)</f>
        <v>328</v>
      </c>
    </row>
    <row r="15" spans="1:13" ht="15" thickTop="1" x14ac:dyDescent="0.3">
      <c r="B15" s="54"/>
      <c r="C15" s="54"/>
      <c r="D15" s="88"/>
      <c r="E15" s="50"/>
      <c r="F15" s="54"/>
      <c r="G15" s="54"/>
      <c r="H15" s="54"/>
      <c r="I15" s="54"/>
      <c r="J15" s="54"/>
      <c r="K15" s="54"/>
      <c r="L15" s="54"/>
    </row>
    <row r="16" spans="1:13" x14ac:dyDescent="0.3">
      <c r="A16" t="s">
        <v>162</v>
      </c>
      <c r="B16" s="54">
        <f>SUM(B14:C14)</f>
        <v>523724.07</v>
      </c>
      <c r="C16" s="54"/>
      <c r="D16" s="88"/>
      <c r="E16" s="50"/>
      <c r="F16" s="54"/>
      <c r="G16" s="54"/>
      <c r="H16" s="54"/>
      <c r="I16" s="54"/>
      <c r="J16" s="54"/>
      <c r="K16" s="54"/>
      <c r="L16" s="54"/>
    </row>
  </sheetData>
  <pageMargins left="0.7" right="0.7" top="0.75" bottom="0.75" header="0.3" footer="0.3"/>
  <pageSetup scale="70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M8"/>
  <sheetViews>
    <sheetView workbookViewId="0">
      <selection activeCell="B6" sqref="B3:B6"/>
    </sheetView>
  </sheetViews>
  <sheetFormatPr defaultRowHeight="14.4" x14ac:dyDescent="0.3"/>
  <cols>
    <col min="1" max="1" width="22.554687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288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7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13</v>
      </c>
      <c r="B3" s="80">
        <v>20000</v>
      </c>
      <c r="C3" s="81"/>
      <c r="D3" s="39"/>
      <c r="E3" s="81">
        <v>20000</v>
      </c>
      <c r="F3" s="54"/>
      <c r="G3" s="80"/>
      <c r="H3" s="80"/>
      <c r="I3" s="80"/>
      <c r="J3" s="80"/>
      <c r="K3" s="80"/>
      <c r="L3" s="80"/>
    </row>
    <row r="4" spans="1:13" x14ac:dyDescent="0.3">
      <c r="A4" t="s">
        <v>265</v>
      </c>
      <c r="B4" s="80">
        <v>2500</v>
      </c>
      <c r="C4" s="81"/>
      <c r="D4" s="39"/>
      <c r="E4" s="81"/>
      <c r="F4" s="80">
        <v>2500</v>
      </c>
      <c r="G4" s="80"/>
      <c r="H4" s="80"/>
      <c r="I4" s="80"/>
      <c r="J4" s="80"/>
      <c r="K4" s="80"/>
      <c r="L4" s="80"/>
    </row>
    <row r="5" spans="1:13" x14ac:dyDescent="0.3">
      <c r="A5" t="s">
        <v>286</v>
      </c>
      <c r="B5" s="80">
        <v>2100</v>
      </c>
      <c r="C5" s="81"/>
      <c r="D5" s="39"/>
      <c r="E5" s="81"/>
      <c r="F5" s="80">
        <v>2100</v>
      </c>
      <c r="G5" s="80"/>
      <c r="H5" s="80"/>
      <c r="I5" s="80"/>
      <c r="J5" s="80"/>
      <c r="K5" s="80"/>
      <c r="L5" s="80"/>
    </row>
    <row r="6" spans="1:13" ht="15" thickBot="1" x14ac:dyDescent="0.35">
      <c r="A6" s="85" t="s">
        <v>213</v>
      </c>
      <c r="B6" s="86">
        <f>SUM(B3:B5)</f>
        <v>24600</v>
      </c>
      <c r="C6" s="86"/>
      <c r="D6" s="46"/>
      <c r="E6" s="86">
        <f>SUM(E3:E5)</f>
        <v>20000</v>
      </c>
      <c r="F6" s="86">
        <f>SUM(F3:F5)</f>
        <v>4600</v>
      </c>
      <c r="G6" s="86"/>
      <c r="H6" s="86"/>
      <c r="I6" s="86"/>
      <c r="J6" s="86"/>
      <c r="K6" s="86"/>
      <c r="L6" s="86"/>
      <c r="M6" s="85"/>
    </row>
    <row r="7" spans="1:13" ht="15" thickTop="1" x14ac:dyDescent="0.3">
      <c r="B7" s="54"/>
      <c r="C7" s="54"/>
      <c r="D7" s="88"/>
      <c r="E7" s="50"/>
      <c r="F7" s="54"/>
      <c r="G7" s="54"/>
      <c r="H7" s="54"/>
      <c r="I7" s="54"/>
      <c r="J7" s="54"/>
      <c r="K7" s="54"/>
      <c r="L7" s="54"/>
    </row>
    <row r="8" spans="1:13" x14ac:dyDescent="0.3">
      <c r="A8" t="s">
        <v>33</v>
      </c>
      <c r="B8" s="54">
        <f>SUM(B6:C6)</f>
        <v>24600</v>
      </c>
      <c r="C8" s="54"/>
      <c r="D8" s="88"/>
      <c r="E8" s="50"/>
      <c r="F8" s="54"/>
      <c r="G8" s="54"/>
      <c r="H8" s="54"/>
      <c r="I8" s="54"/>
      <c r="J8" s="54"/>
      <c r="K8" s="54"/>
      <c r="L8" s="54"/>
    </row>
  </sheetData>
  <pageMargins left="0.7" right="0.7" top="0.75" bottom="0.75" header="0.3" footer="0.3"/>
  <pageSetup scale="92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13"/>
  <sheetViews>
    <sheetView workbookViewId="0">
      <selection activeCell="E12" sqref="A12:E12"/>
    </sheetView>
  </sheetViews>
  <sheetFormatPr defaultRowHeight="14.4" x14ac:dyDescent="0.3"/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289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7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13</v>
      </c>
      <c r="B3" s="80">
        <v>20000</v>
      </c>
      <c r="C3" s="81"/>
      <c r="D3" s="39"/>
      <c r="E3" s="81">
        <v>20000</v>
      </c>
      <c r="F3" s="54"/>
      <c r="G3" s="80"/>
      <c r="H3" s="80"/>
      <c r="I3" s="80"/>
      <c r="J3" s="80"/>
      <c r="K3" s="80"/>
      <c r="L3" s="80"/>
    </row>
    <row r="4" spans="1:13" x14ac:dyDescent="0.3">
      <c r="A4" t="s">
        <v>290</v>
      </c>
      <c r="B4" s="80">
        <v>1000</v>
      </c>
      <c r="C4" s="81"/>
      <c r="D4" s="39"/>
      <c r="E4" s="81"/>
      <c r="F4" s="80">
        <v>1000</v>
      </c>
      <c r="G4" s="80"/>
      <c r="H4" s="80"/>
      <c r="I4" s="80"/>
      <c r="J4" s="80"/>
      <c r="K4" s="80"/>
      <c r="L4" s="80"/>
    </row>
    <row r="5" spans="1:13" x14ac:dyDescent="0.3">
      <c r="A5" t="s">
        <v>265</v>
      </c>
      <c r="B5" s="80">
        <v>500</v>
      </c>
      <c r="C5" s="81"/>
      <c r="D5" s="39"/>
      <c r="E5" s="81"/>
      <c r="F5" s="80">
        <v>500</v>
      </c>
      <c r="G5" s="80"/>
      <c r="H5" s="80"/>
      <c r="I5" s="80"/>
      <c r="J5" s="80"/>
      <c r="K5" s="80"/>
      <c r="L5" s="80"/>
    </row>
    <row r="6" spans="1:13" x14ac:dyDescent="0.3">
      <c r="A6" t="s">
        <v>291</v>
      </c>
      <c r="B6" s="80">
        <v>4784.43</v>
      </c>
      <c r="C6" s="81"/>
      <c r="D6" s="39"/>
      <c r="E6" s="81"/>
      <c r="F6" s="80">
        <v>4784.43</v>
      </c>
      <c r="G6" s="80"/>
      <c r="H6" s="80"/>
      <c r="I6" s="80"/>
      <c r="J6" s="80"/>
      <c r="K6" s="80"/>
      <c r="L6" s="80"/>
    </row>
    <row r="7" spans="1:13" x14ac:dyDescent="0.3">
      <c r="A7" t="s">
        <v>292</v>
      </c>
      <c r="B7" s="80">
        <v>7500</v>
      </c>
      <c r="C7" s="81"/>
      <c r="D7" s="39"/>
      <c r="E7" s="81"/>
      <c r="F7" s="80">
        <v>7500</v>
      </c>
      <c r="G7" s="80"/>
      <c r="H7" s="80"/>
      <c r="I7" s="80"/>
      <c r="J7" s="80"/>
      <c r="K7" s="80"/>
      <c r="L7" s="80"/>
    </row>
    <row r="8" spans="1:13" x14ac:dyDescent="0.3">
      <c r="A8" t="s">
        <v>293</v>
      </c>
      <c r="B8" s="80">
        <v>59055.48</v>
      </c>
      <c r="C8" s="81"/>
      <c r="D8" s="39"/>
      <c r="E8" s="81"/>
      <c r="F8" s="80"/>
      <c r="G8" s="80"/>
      <c r="H8" s="80">
        <v>59055.48</v>
      </c>
      <c r="I8" s="80"/>
      <c r="J8" s="80"/>
      <c r="K8" s="80"/>
      <c r="L8" s="80"/>
    </row>
    <row r="9" spans="1:13" ht="15" thickBot="1" x14ac:dyDescent="0.35">
      <c r="A9" s="85" t="s">
        <v>213</v>
      </c>
      <c r="B9" s="86">
        <f>SUM(B3:B8)</f>
        <v>92839.91</v>
      </c>
      <c r="C9" s="86"/>
      <c r="D9" s="46"/>
      <c r="E9" s="86">
        <f>SUM(E3:E8)</f>
        <v>20000</v>
      </c>
      <c r="F9" s="86">
        <f>SUM(F3:F8)</f>
        <v>13784.43</v>
      </c>
      <c r="G9" s="86"/>
      <c r="H9" s="86">
        <f>SUM(H3:H8)</f>
        <v>59055.48</v>
      </c>
      <c r="I9" s="86"/>
      <c r="J9" s="86"/>
      <c r="K9" s="86"/>
      <c r="L9" s="86"/>
      <c r="M9" s="85"/>
    </row>
    <row r="10" spans="1:13" ht="15" thickTop="1" x14ac:dyDescent="0.3">
      <c r="B10" s="54"/>
      <c r="C10" s="54"/>
      <c r="D10" s="88"/>
      <c r="E10" s="50"/>
      <c r="F10" s="54"/>
      <c r="G10" s="54"/>
      <c r="H10" s="54"/>
      <c r="I10" s="54"/>
      <c r="J10" s="54"/>
      <c r="K10" s="54"/>
      <c r="L10" s="54"/>
    </row>
    <row r="11" spans="1:13" x14ac:dyDescent="0.3">
      <c r="A11" t="s">
        <v>294</v>
      </c>
      <c r="B11" s="54">
        <f>SUM(B9:C9)</f>
        <v>92839.91</v>
      </c>
      <c r="C11" s="54"/>
      <c r="D11" s="88"/>
      <c r="E11" s="50"/>
      <c r="F11" s="54"/>
      <c r="G11" s="54"/>
      <c r="H11" s="54"/>
      <c r="I11" s="54"/>
      <c r="J11" s="54"/>
      <c r="K11" s="54"/>
      <c r="L11" s="54"/>
    </row>
    <row r="12" spans="1:13" x14ac:dyDescent="0.3">
      <c r="B12" s="54"/>
      <c r="C12" s="54"/>
      <c r="D12" s="88"/>
      <c r="E12" s="50"/>
      <c r="F12" s="54"/>
      <c r="G12" s="54"/>
      <c r="H12" s="54"/>
      <c r="I12" s="54"/>
      <c r="J12" s="54"/>
      <c r="K12" s="54"/>
      <c r="L12" s="54"/>
    </row>
    <row r="13" spans="1:13" x14ac:dyDescent="0.3">
      <c r="D13" s="88"/>
      <c r="E13" s="70"/>
    </row>
  </sheetData>
  <pageMargins left="0.7" right="0.7" top="0.75" bottom="0.75" header="0.3" footer="0.3"/>
  <pageSetup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8"/>
  <sheetViews>
    <sheetView workbookViewId="0">
      <selection activeCell="F5" sqref="F5"/>
    </sheetView>
  </sheetViews>
  <sheetFormatPr defaultRowHeight="14.4" x14ac:dyDescent="0.3"/>
  <cols>
    <col min="1" max="1" width="20.6640625" customWidth="1"/>
    <col min="11" max="11" width="17.10937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295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7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13</v>
      </c>
      <c r="B3" s="80">
        <v>20000</v>
      </c>
      <c r="C3" s="81"/>
      <c r="D3" s="39"/>
      <c r="E3" s="81">
        <v>20000</v>
      </c>
      <c r="F3" s="54"/>
      <c r="G3" s="80"/>
      <c r="H3" s="80"/>
      <c r="I3" s="80"/>
      <c r="J3" s="80"/>
      <c r="K3" s="80"/>
      <c r="L3" s="80"/>
    </row>
    <row r="4" spans="1:13" x14ac:dyDescent="0.3">
      <c r="A4" t="s">
        <v>296</v>
      </c>
      <c r="B4" s="80">
        <v>9523</v>
      </c>
      <c r="C4" s="81"/>
      <c r="D4" s="39"/>
      <c r="E4" s="81"/>
      <c r="F4" s="80">
        <v>9523</v>
      </c>
      <c r="G4" s="80"/>
      <c r="H4" s="80"/>
      <c r="I4" s="80"/>
      <c r="J4" s="80"/>
      <c r="K4" s="80"/>
      <c r="L4" s="80"/>
    </row>
    <row r="5" spans="1:13" ht="15" thickBot="1" x14ac:dyDescent="0.35">
      <c r="A5" s="85" t="s">
        <v>213</v>
      </c>
      <c r="B5" s="86">
        <f>SUM(B3:B4)</f>
        <v>29523</v>
      </c>
      <c r="C5" s="86">
        <f t="shared" ref="C5:M5" si="0">SUM(C3:C4)</f>
        <v>0</v>
      </c>
      <c r="D5" s="46"/>
      <c r="E5" s="86">
        <f t="shared" si="0"/>
        <v>20000</v>
      </c>
      <c r="F5" s="86">
        <f t="shared" si="0"/>
        <v>9523</v>
      </c>
      <c r="G5" s="86">
        <f t="shared" si="0"/>
        <v>0</v>
      </c>
      <c r="H5" s="86">
        <f t="shared" si="0"/>
        <v>0</v>
      </c>
      <c r="I5" s="86">
        <f t="shared" si="0"/>
        <v>0</v>
      </c>
      <c r="J5" s="86">
        <f t="shared" si="0"/>
        <v>0</v>
      </c>
      <c r="K5" s="86">
        <f t="shared" si="0"/>
        <v>0</v>
      </c>
      <c r="L5" s="86">
        <f t="shared" si="0"/>
        <v>0</v>
      </c>
      <c r="M5" s="85">
        <f t="shared" si="0"/>
        <v>0</v>
      </c>
    </row>
    <row r="6" spans="1:13" ht="15" thickTop="1" x14ac:dyDescent="0.3">
      <c r="B6" s="54"/>
      <c r="C6" s="54"/>
      <c r="D6" s="88"/>
      <c r="E6" s="50"/>
      <c r="F6" s="54"/>
      <c r="G6" s="54"/>
      <c r="H6" s="54"/>
      <c r="I6" s="54"/>
      <c r="J6" s="54"/>
      <c r="K6" s="54"/>
      <c r="L6" s="54"/>
    </row>
    <row r="7" spans="1:13" x14ac:dyDescent="0.3">
      <c r="A7" t="s">
        <v>294</v>
      </c>
      <c r="B7" s="54">
        <f>SUM(B5:C5)</f>
        <v>29523</v>
      </c>
      <c r="C7" s="54"/>
      <c r="D7" s="88"/>
      <c r="E7" s="50"/>
      <c r="F7" s="54"/>
      <c r="G7" s="54"/>
      <c r="H7" s="54"/>
      <c r="I7" s="54"/>
      <c r="J7" s="54"/>
      <c r="K7" s="54"/>
      <c r="L7" s="54"/>
    </row>
    <row r="8" spans="1:13" x14ac:dyDescent="0.3">
      <c r="D8" s="88"/>
      <c r="E8" s="70"/>
    </row>
  </sheetData>
  <pageMargins left="0.7" right="0.7" top="0.75" bottom="0.75" header="0.3" footer="0.3"/>
  <pageSetup scale="88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M6"/>
  <sheetViews>
    <sheetView workbookViewId="0">
      <selection activeCell="E8" sqref="E8"/>
    </sheetView>
  </sheetViews>
  <sheetFormatPr defaultRowHeight="14.4" x14ac:dyDescent="0.3"/>
  <cols>
    <col min="1" max="1" width="21.33203125" customWidth="1"/>
  </cols>
  <sheetData>
    <row r="1" spans="1:13" x14ac:dyDescent="0.3">
      <c r="A1" s="30"/>
      <c r="B1" s="31" t="s">
        <v>0</v>
      </c>
      <c r="C1" s="32"/>
      <c r="D1" s="32"/>
      <c r="E1" s="30"/>
      <c r="F1" s="30"/>
      <c r="G1" s="31" t="s">
        <v>1</v>
      </c>
      <c r="H1" s="30"/>
      <c r="I1" s="30"/>
      <c r="J1" s="30"/>
      <c r="K1" s="30"/>
      <c r="L1" s="30"/>
      <c r="M1" s="33"/>
    </row>
    <row r="2" spans="1:13" x14ac:dyDescent="0.3">
      <c r="A2" s="34" t="s">
        <v>297</v>
      </c>
      <c r="B2" s="56" t="s">
        <v>3</v>
      </c>
      <c r="C2" s="56" t="s">
        <v>4</v>
      </c>
      <c r="D2" s="56"/>
      <c r="E2" s="56" t="s">
        <v>5</v>
      </c>
      <c r="F2" s="56" t="s">
        <v>6</v>
      </c>
      <c r="G2" s="56" t="s">
        <v>7</v>
      </c>
      <c r="H2" s="57" t="s">
        <v>117</v>
      </c>
      <c r="I2" s="56" t="s">
        <v>8</v>
      </c>
      <c r="J2" s="34" t="s">
        <v>9</v>
      </c>
      <c r="K2" s="56" t="s">
        <v>10</v>
      </c>
      <c r="L2" s="56" t="s">
        <v>11</v>
      </c>
      <c r="M2" s="36" t="s">
        <v>12</v>
      </c>
    </row>
    <row r="3" spans="1:13" x14ac:dyDescent="0.3">
      <c r="A3" t="s">
        <v>146</v>
      </c>
      <c r="B3" s="80">
        <v>20000</v>
      </c>
      <c r="C3" s="81"/>
      <c r="D3" s="39"/>
      <c r="E3" s="81">
        <v>20000</v>
      </c>
      <c r="F3" s="54"/>
      <c r="G3" s="80"/>
      <c r="H3" s="80"/>
      <c r="I3" s="80"/>
      <c r="J3" s="80"/>
      <c r="K3" s="80"/>
      <c r="L3" s="80"/>
    </row>
    <row r="4" spans="1:13" ht="15" thickBot="1" x14ac:dyDescent="0.35">
      <c r="A4" s="85" t="s">
        <v>213</v>
      </c>
      <c r="B4" s="86">
        <f>SUM(B3)</f>
        <v>20000</v>
      </c>
      <c r="C4" s="86">
        <f t="shared" ref="C4:M4" si="0">SUM(C3)</f>
        <v>0</v>
      </c>
      <c r="D4" s="46"/>
      <c r="E4" s="86">
        <f t="shared" si="0"/>
        <v>20000</v>
      </c>
      <c r="F4" s="87">
        <f t="shared" si="0"/>
        <v>0</v>
      </c>
      <c r="G4" s="86">
        <f t="shared" si="0"/>
        <v>0</v>
      </c>
      <c r="H4" s="86">
        <f t="shared" si="0"/>
        <v>0</v>
      </c>
      <c r="I4" s="86">
        <f t="shared" si="0"/>
        <v>0</v>
      </c>
      <c r="J4" s="86">
        <f t="shared" si="0"/>
        <v>0</v>
      </c>
      <c r="K4" s="86">
        <f t="shared" si="0"/>
        <v>0</v>
      </c>
      <c r="L4" s="86">
        <f t="shared" si="0"/>
        <v>0</v>
      </c>
      <c r="M4" s="85">
        <f t="shared" si="0"/>
        <v>0</v>
      </c>
    </row>
    <row r="5" spans="1:13" ht="15" thickTop="1" x14ac:dyDescent="0.3">
      <c r="B5" s="54"/>
      <c r="C5" s="54"/>
      <c r="D5" s="88"/>
      <c r="E5" s="54"/>
      <c r="F5" s="54"/>
      <c r="G5" s="54"/>
      <c r="H5" s="54"/>
      <c r="I5" s="54"/>
      <c r="J5" s="54"/>
      <c r="K5" s="54"/>
      <c r="L5" s="54"/>
    </row>
    <row r="6" spans="1:13" x14ac:dyDescent="0.3">
      <c r="A6" t="s">
        <v>294</v>
      </c>
      <c r="B6" s="54">
        <f>SUM(B4:C4)</f>
        <v>20000</v>
      </c>
      <c r="C6" s="54"/>
      <c r="D6" s="88"/>
      <c r="E6" s="54"/>
      <c r="F6" s="54"/>
      <c r="G6" s="54"/>
      <c r="H6" s="54"/>
      <c r="I6" s="54"/>
      <c r="J6" s="54"/>
      <c r="K6" s="54"/>
      <c r="L6" s="54"/>
    </row>
  </sheetData>
  <pageMargins left="0.7" right="0.7" top="0.75" bottom="0.75" header="0.3" footer="0.3"/>
  <pageSetup scale="9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5769-3BA1-42C7-9C57-1EE5ED7E9DDC}">
  <sheetPr>
    <pageSetUpPr fitToPage="1"/>
  </sheetPr>
  <dimension ref="A1:O19"/>
  <sheetViews>
    <sheetView workbookViewId="0">
      <selection activeCell="D17" sqref="D17"/>
    </sheetView>
  </sheetViews>
  <sheetFormatPr defaultRowHeight="14.4" x14ac:dyDescent="0.3"/>
  <cols>
    <col min="1" max="1" width="44.109375" bestFit="1" customWidth="1"/>
    <col min="2" max="3" width="12.6640625" bestFit="1" customWidth="1"/>
    <col min="4" max="4" width="12.5546875" bestFit="1" customWidth="1"/>
    <col min="5" max="5" width="11.5546875" bestFit="1" customWidth="1"/>
    <col min="8" max="8" width="11.5546875" bestFit="1" customWidth="1"/>
    <col min="9" max="9" width="14.109375" bestFit="1" customWidth="1"/>
    <col min="11" max="11" width="8.33203125" bestFit="1" customWidth="1"/>
    <col min="12" max="12" width="14.33203125" bestFit="1" customWidth="1"/>
    <col min="14" max="14" width="14.33203125" bestFit="1" customWidth="1"/>
    <col min="15" max="15" width="16.33203125" bestFit="1" customWidth="1"/>
  </cols>
  <sheetData>
    <row r="1" spans="1:15" ht="15" thickBot="1" x14ac:dyDescent="0.35">
      <c r="A1" s="439" t="s">
        <v>0</v>
      </c>
      <c r="B1" s="440"/>
      <c r="C1" s="441"/>
      <c r="D1" s="440" t="s">
        <v>1</v>
      </c>
      <c r="E1" s="440"/>
      <c r="F1" s="440"/>
      <c r="G1" s="440"/>
      <c r="H1" s="440"/>
      <c r="I1" s="440"/>
      <c r="J1" s="440"/>
      <c r="K1" s="440"/>
      <c r="L1" s="440"/>
      <c r="M1" s="440"/>
      <c r="N1" s="442" t="s">
        <v>376</v>
      </c>
      <c r="O1" s="443"/>
    </row>
    <row r="2" spans="1:15" ht="58.2" thickBot="1" x14ac:dyDescent="0.35">
      <c r="A2" s="242" t="s">
        <v>445</v>
      </c>
      <c r="B2" s="178" t="s">
        <v>3</v>
      </c>
      <c r="C2" s="290" t="s">
        <v>4</v>
      </c>
      <c r="D2" s="358" t="s">
        <v>5</v>
      </c>
      <c r="E2" s="359" t="s">
        <v>6</v>
      </c>
      <c r="F2" s="360" t="s">
        <v>341</v>
      </c>
      <c r="G2" s="359" t="s">
        <v>7</v>
      </c>
      <c r="H2" s="360" t="s">
        <v>355</v>
      </c>
      <c r="I2" s="359" t="s">
        <v>8</v>
      </c>
      <c r="J2" s="359" t="s">
        <v>9</v>
      </c>
      <c r="K2" s="360" t="s">
        <v>343</v>
      </c>
      <c r="L2" s="359" t="s">
        <v>11</v>
      </c>
      <c r="M2" s="361" t="s">
        <v>12</v>
      </c>
      <c r="N2" s="242" t="s">
        <v>407</v>
      </c>
      <c r="O2" s="235" t="s">
        <v>353</v>
      </c>
    </row>
    <row r="3" spans="1:15" x14ac:dyDescent="0.3">
      <c r="A3" s="314" t="s">
        <v>352</v>
      </c>
      <c r="B3" s="315">
        <v>94700</v>
      </c>
      <c r="C3" s="364">
        <v>387000</v>
      </c>
      <c r="D3" s="384">
        <f>SUM(B3,C3)</f>
        <v>481700</v>
      </c>
      <c r="E3" s="368"/>
      <c r="F3" s="368"/>
      <c r="G3" s="368"/>
      <c r="H3" s="368"/>
      <c r="I3" s="368"/>
      <c r="J3" s="368"/>
      <c r="K3" s="368"/>
      <c r="L3" s="368"/>
      <c r="M3" s="378">
        <v>4</v>
      </c>
      <c r="N3" s="390">
        <v>244000</v>
      </c>
      <c r="O3" s="389"/>
    </row>
    <row r="4" spans="1:15" x14ac:dyDescent="0.3">
      <c r="A4" s="332" t="s">
        <v>437</v>
      </c>
      <c r="B4" s="394">
        <v>5160</v>
      </c>
      <c r="C4" s="365">
        <v>20641</v>
      </c>
      <c r="D4" s="367"/>
      <c r="E4" s="368"/>
      <c r="F4" s="368"/>
      <c r="G4" s="368"/>
      <c r="H4" s="368">
        <v>25802</v>
      </c>
      <c r="I4" s="368"/>
      <c r="J4" s="368"/>
      <c r="K4" s="368"/>
      <c r="L4" s="368"/>
      <c r="M4" s="378">
        <v>8</v>
      </c>
      <c r="N4" s="380">
        <v>125000</v>
      </c>
      <c r="O4" s="374">
        <v>349698</v>
      </c>
    </row>
    <row r="5" spans="1:15" x14ac:dyDescent="0.3">
      <c r="A5" s="332" t="s">
        <v>438</v>
      </c>
      <c r="B5" s="324">
        <v>17200</v>
      </c>
      <c r="C5" s="365">
        <v>68600</v>
      </c>
      <c r="D5" s="367"/>
      <c r="E5" s="368"/>
      <c r="F5" s="368"/>
      <c r="G5" s="368"/>
      <c r="H5" s="368">
        <v>85800</v>
      </c>
      <c r="I5" s="368"/>
      <c r="J5" s="368"/>
      <c r="K5" s="368"/>
      <c r="L5" s="368"/>
      <c r="M5" s="378">
        <v>12</v>
      </c>
      <c r="N5" s="380">
        <v>450000</v>
      </c>
      <c r="O5" s="374">
        <v>465000</v>
      </c>
    </row>
    <row r="6" spans="1:15" x14ac:dyDescent="0.3">
      <c r="A6" s="354" t="s">
        <v>439</v>
      </c>
      <c r="B6" s="324">
        <v>6415</v>
      </c>
      <c r="C6" s="365">
        <v>25657</v>
      </c>
      <c r="D6" s="367"/>
      <c r="E6" s="368"/>
      <c r="F6" s="368"/>
      <c r="G6" s="368"/>
      <c r="H6" s="368">
        <v>32072</v>
      </c>
      <c r="I6" s="368"/>
      <c r="J6" s="368"/>
      <c r="K6" s="368"/>
      <c r="L6" s="368"/>
      <c r="M6" s="378">
        <v>6</v>
      </c>
      <c r="N6" s="380">
        <v>196000</v>
      </c>
      <c r="O6" s="374">
        <v>157928</v>
      </c>
    </row>
    <row r="7" spans="1:15" x14ac:dyDescent="0.3">
      <c r="A7" s="332" t="s">
        <v>440</v>
      </c>
      <c r="B7" s="324">
        <v>6750</v>
      </c>
      <c r="C7" s="365">
        <v>27000</v>
      </c>
      <c r="D7" s="367"/>
      <c r="E7" s="368"/>
      <c r="F7" s="368"/>
      <c r="G7" s="368"/>
      <c r="H7" s="368">
        <v>33750</v>
      </c>
      <c r="I7" s="368"/>
      <c r="J7" s="368"/>
      <c r="K7" s="368"/>
      <c r="L7" s="368"/>
      <c r="M7" s="378">
        <v>9</v>
      </c>
      <c r="N7" s="380">
        <v>387000</v>
      </c>
      <c r="O7" s="374">
        <v>106250</v>
      </c>
    </row>
    <row r="8" spans="1:15" x14ac:dyDescent="0.3">
      <c r="A8" s="332" t="s">
        <v>441</v>
      </c>
      <c r="B8" s="324">
        <v>14301</v>
      </c>
      <c r="C8" s="365">
        <v>57206</v>
      </c>
      <c r="D8" s="367"/>
      <c r="E8" s="368"/>
      <c r="F8" s="368"/>
      <c r="G8" s="368"/>
      <c r="H8" s="368">
        <v>71508</v>
      </c>
      <c r="I8" s="368"/>
      <c r="J8" s="368"/>
      <c r="K8" s="368"/>
      <c r="L8" s="368"/>
      <c r="M8" s="378">
        <v>5</v>
      </c>
      <c r="N8" s="380">
        <v>400000</v>
      </c>
      <c r="O8" s="374">
        <v>378492</v>
      </c>
    </row>
    <row r="9" spans="1:15" x14ac:dyDescent="0.3">
      <c r="A9" s="355" t="s">
        <v>442</v>
      </c>
      <c r="B9" s="324">
        <v>17200</v>
      </c>
      <c r="C9" s="365">
        <v>68800</v>
      </c>
      <c r="D9" s="370"/>
      <c r="E9" s="356"/>
      <c r="F9" s="356"/>
      <c r="G9" s="356"/>
      <c r="H9" s="368">
        <v>85800</v>
      </c>
      <c r="I9" s="356"/>
      <c r="J9" s="356"/>
      <c r="K9" s="356"/>
      <c r="L9" s="356"/>
      <c r="M9" s="371">
        <v>5</v>
      </c>
      <c r="N9" s="370">
        <v>275250</v>
      </c>
      <c r="O9" s="356">
        <v>415000</v>
      </c>
    </row>
    <row r="10" spans="1:15" x14ac:dyDescent="0.3">
      <c r="A10" s="355" t="s">
        <v>443</v>
      </c>
      <c r="B10" s="324">
        <v>3708</v>
      </c>
      <c r="C10" s="365">
        <v>14833</v>
      </c>
      <c r="D10" s="370"/>
      <c r="E10" s="356"/>
      <c r="F10" s="356"/>
      <c r="G10" s="356"/>
      <c r="H10" s="368">
        <v>18541</v>
      </c>
      <c r="I10" s="356"/>
      <c r="J10" s="356"/>
      <c r="K10" s="356"/>
      <c r="L10" s="356"/>
      <c r="M10" s="371">
        <v>5</v>
      </c>
      <c r="N10" s="370">
        <v>125000</v>
      </c>
      <c r="O10" s="356">
        <v>117959</v>
      </c>
    </row>
    <row r="11" spans="1:15" x14ac:dyDescent="0.3">
      <c r="A11" s="355" t="s">
        <v>444</v>
      </c>
      <c r="B11" s="324"/>
      <c r="C11" s="365"/>
      <c r="D11" s="370"/>
      <c r="E11" s="356"/>
      <c r="F11" s="356"/>
      <c r="G11" s="356"/>
      <c r="I11" s="368">
        <v>25000</v>
      </c>
      <c r="J11" s="356"/>
      <c r="K11" s="356"/>
      <c r="L11" s="356"/>
      <c r="M11" s="371">
        <v>8</v>
      </c>
      <c r="N11" s="370">
        <v>264040</v>
      </c>
      <c r="O11" s="356">
        <v>555000</v>
      </c>
    </row>
    <row r="12" spans="1:15" x14ac:dyDescent="0.3">
      <c r="A12" s="396" t="s">
        <v>432</v>
      </c>
      <c r="B12" s="394">
        <v>15000</v>
      </c>
      <c r="C12" s="395">
        <v>60000</v>
      </c>
      <c r="D12" s="370"/>
      <c r="E12" s="356">
        <v>75000</v>
      </c>
      <c r="F12" s="356"/>
      <c r="G12" s="356"/>
      <c r="H12" s="356"/>
      <c r="I12" s="356"/>
      <c r="J12" s="356"/>
      <c r="K12" s="356"/>
      <c r="L12" s="356"/>
      <c r="M12" s="392"/>
      <c r="N12" s="370"/>
      <c r="O12" s="356"/>
    </row>
    <row r="13" spans="1:15" x14ac:dyDescent="0.3">
      <c r="A13" s="385" t="s">
        <v>137</v>
      </c>
      <c r="B13" s="387">
        <v>1850</v>
      </c>
      <c r="C13" s="386">
        <v>3150</v>
      </c>
      <c r="D13" s="89">
        <v>5000</v>
      </c>
      <c r="E13" s="303"/>
      <c r="F13" s="303"/>
      <c r="G13" s="303"/>
      <c r="H13" s="303"/>
      <c r="I13" s="303"/>
      <c r="J13" s="303"/>
      <c r="K13" s="303"/>
      <c r="L13" s="303"/>
      <c r="M13" s="388"/>
      <c r="N13" s="363"/>
      <c r="O13" s="303"/>
    </row>
    <row r="14" spans="1:15" x14ac:dyDescent="0.3">
      <c r="A14" s="332" t="s">
        <v>354</v>
      </c>
      <c r="B14" s="394">
        <v>13272</v>
      </c>
      <c r="C14" s="365">
        <v>19447</v>
      </c>
      <c r="D14" s="367">
        <v>30869</v>
      </c>
      <c r="E14" s="368"/>
      <c r="F14" s="368"/>
      <c r="G14" s="368"/>
      <c r="H14" s="368"/>
      <c r="I14" s="368"/>
      <c r="J14" s="368"/>
      <c r="K14" s="368"/>
      <c r="L14" s="368"/>
      <c r="M14" s="378"/>
      <c r="N14" s="330"/>
      <c r="O14" s="362"/>
    </row>
    <row r="15" spans="1:15" x14ac:dyDescent="0.3">
      <c r="A15" s="356" t="s">
        <v>434</v>
      </c>
      <c r="B15" s="394">
        <v>9000</v>
      </c>
      <c r="C15" s="395">
        <v>36000</v>
      </c>
      <c r="D15" s="370">
        <v>45000</v>
      </c>
      <c r="E15" s="356"/>
      <c r="F15" s="356"/>
      <c r="G15" s="356"/>
      <c r="H15" s="356"/>
      <c r="I15" s="356"/>
      <c r="J15" s="356"/>
      <c r="K15" s="356"/>
      <c r="L15" s="356"/>
      <c r="M15" s="392">
        <v>1</v>
      </c>
      <c r="N15" s="370"/>
      <c r="O15" s="356"/>
    </row>
    <row r="16" spans="1:15" x14ac:dyDescent="0.3">
      <c r="A16" s="356" t="s">
        <v>435</v>
      </c>
      <c r="B16" s="394">
        <v>10000</v>
      </c>
      <c r="C16" s="395">
        <v>40000</v>
      </c>
      <c r="D16" s="370">
        <v>50000</v>
      </c>
      <c r="E16" s="356"/>
      <c r="F16" s="356"/>
      <c r="G16" s="356"/>
      <c r="H16" s="356"/>
      <c r="I16" s="356"/>
      <c r="J16" s="356"/>
      <c r="K16" s="356"/>
      <c r="L16" s="356"/>
      <c r="M16" s="392">
        <v>1.5</v>
      </c>
      <c r="N16" s="370"/>
      <c r="O16" s="356"/>
    </row>
    <row r="17" spans="1:15" ht="15" thickBot="1" x14ac:dyDescent="0.35">
      <c r="A17" s="245" t="s">
        <v>31</v>
      </c>
      <c r="B17" s="287">
        <f>SUM(B3:B16)</f>
        <v>214556</v>
      </c>
      <c r="C17" s="295">
        <f>SUM(C3:C16)</f>
        <v>828334</v>
      </c>
      <c r="D17" s="224">
        <f>SUM(D3:D16)</f>
        <v>612569</v>
      </c>
      <c r="E17" s="372">
        <f>SUM(E3:E16)</f>
        <v>75000</v>
      </c>
      <c r="F17" s="372">
        <f>SUM(F3:F8)</f>
        <v>0</v>
      </c>
      <c r="G17" s="372">
        <f>SUM(G3:G8)</f>
        <v>0</v>
      </c>
      <c r="H17" s="372">
        <f>SUM(H3:H16)</f>
        <v>353273</v>
      </c>
      <c r="I17" s="372">
        <f>SUM(I3:I16)</f>
        <v>25000</v>
      </c>
      <c r="J17" s="372">
        <f>SUM(J3:J8)</f>
        <v>0</v>
      </c>
      <c r="K17" s="372">
        <f>SUM(K3:K8)</f>
        <v>0</v>
      </c>
      <c r="L17" s="372">
        <f>SUM(L3:L16)</f>
        <v>0</v>
      </c>
      <c r="M17" s="393">
        <f>SUM(M3:M16)</f>
        <v>64.5</v>
      </c>
      <c r="N17" s="391">
        <f>SUM(N3:N16)</f>
        <v>2466290</v>
      </c>
      <c r="O17" s="376">
        <f>SUM(O3:O16)</f>
        <v>2545327</v>
      </c>
    </row>
    <row r="18" spans="1:15" ht="15" thickBot="1" x14ac:dyDescent="0.35">
      <c r="A18" s="167" t="s">
        <v>162</v>
      </c>
      <c r="B18" s="351">
        <f>SUM(D17:L17)</f>
        <v>1065842</v>
      </c>
      <c r="C18" s="436"/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</row>
    <row r="19" spans="1:15" x14ac:dyDescent="0.3">
      <c r="A19" s="438"/>
      <c r="B19" s="438"/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</row>
  </sheetData>
  <mergeCells count="5">
    <mergeCell ref="A1:C1"/>
    <mergeCell ref="D1:M1"/>
    <mergeCell ref="N1:O1"/>
    <mergeCell ref="C18:O19"/>
    <mergeCell ref="A19:B19"/>
  </mergeCells>
  <pageMargins left="0.7" right="0.7" top="0.75" bottom="0.75" header="0.3" footer="0.3"/>
  <pageSetup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2"/>
  <sheetViews>
    <sheetView topLeftCell="F1" zoomScaleNormal="100" workbookViewId="0">
      <selection activeCell="I60" sqref="I60"/>
    </sheetView>
  </sheetViews>
  <sheetFormatPr defaultRowHeight="14.4" x14ac:dyDescent="0.3"/>
  <cols>
    <col min="1" max="1" width="44.109375" bestFit="1" customWidth="1"/>
    <col min="2" max="4" width="12.5546875" bestFit="1" customWidth="1"/>
    <col min="5" max="5" width="11.6640625" bestFit="1" customWidth="1"/>
    <col min="6" max="6" width="11.5546875" bestFit="1" customWidth="1"/>
    <col min="8" max="8" width="11.6640625" bestFit="1" customWidth="1"/>
    <col min="9" max="9" width="12.5546875" bestFit="1" customWidth="1"/>
    <col min="12" max="12" width="14.33203125" bestFit="1" customWidth="1"/>
    <col min="13" max="13" width="8.5546875" customWidth="1"/>
    <col min="14" max="14" width="14.33203125" bestFit="1" customWidth="1"/>
    <col min="15" max="15" width="16.33203125" bestFit="1" customWidth="1"/>
  </cols>
  <sheetData>
    <row r="1" spans="1:15" ht="15" thickBot="1" x14ac:dyDescent="0.35">
      <c r="A1" s="439" t="s">
        <v>0</v>
      </c>
      <c r="B1" s="440"/>
      <c r="C1" s="441"/>
      <c r="D1" s="440" t="s">
        <v>1</v>
      </c>
      <c r="E1" s="440"/>
      <c r="F1" s="440"/>
      <c r="G1" s="440"/>
      <c r="H1" s="440"/>
      <c r="I1" s="440"/>
      <c r="J1" s="440"/>
      <c r="K1" s="440"/>
      <c r="L1" s="440"/>
      <c r="M1" s="440"/>
      <c r="N1" s="442" t="s">
        <v>376</v>
      </c>
      <c r="O1" s="443"/>
    </row>
    <row r="2" spans="1:15" ht="58.2" thickBot="1" x14ac:dyDescent="0.35">
      <c r="A2" s="242" t="s">
        <v>412</v>
      </c>
      <c r="B2" s="178" t="s">
        <v>3</v>
      </c>
      <c r="C2" s="290" t="s">
        <v>4</v>
      </c>
      <c r="D2" s="358" t="s">
        <v>5</v>
      </c>
      <c r="E2" s="359" t="s">
        <v>6</v>
      </c>
      <c r="F2" s="360" t="s">
        <v>341</v>
      </c>
      <c r="G2" s="359" t="s">
        <v>7</v>
      </c>
      <c r="H2" s="360" t="s">
        <v>355</v>
      </c>
      <c r="I2" s="359" t="s">
        <v>8</v>
      </c>
      <c r="J2" s="359" t="s">
        <v>9</v>
      </c>
      <c r="K2" s="360" t="s">
        <v>343</v>
      </c>
      <c r="L2" s="359" t="s">
        <v>11</v>
      </c>
      <c r="M2" s="361" t="s">
        <v>12</v>
      </c>
      <c r="N2" s="242" t="s">
        <v>407</v>
      </c>
      <c r="O2" s="235" t="s">
        <v>353</v>
      </c>
    </row>
    <row r="3" spans="1:15" x14ac:dyDescent="0.3">
      <c r="A3" s="314" t="s">
        <v>352</v>
      </c>
      <c r="B3" s="315">
        <v>82000</v>
      </c>
      <c r="C3" s="364">
        <v>320000</v>
      </c>
      <c r="D3" s="367">
        <v>466257</v>
      </c>
      <c r="E3" s="368"/>
      <c r="F3" s="368"/>
      <c r="G3" s="368"/>
      <c r="H3" s="368"/>
      <c r="I3" s="368"/>
      <c r="J3" s="368"/>
      <c r="K3" s="368"/>
      <c r="L3" s="368"/>
      <c r="M3" s="378"/>
      <c r="N3" s="357">
        <v>217485</v>
      </c>
      <c r="O3" s="321"/>
    </row>
    <row r="4" spans="1:15" x14ac:dyDescent="0.3">
      <c r="A4" s="332" t="s">
        <v>354</v>
      </c>
      <c r="B4" s="356">
        <v>13272</v>
      </c>
      <c r="C4" s="365">
        <v>22597</v>
      </c>
      <c r="D4" s="367">
        <v>35869</v>
      </c>
      <c r="E4" s="368"/>
      <c r="F4" s="368"/>
      <c r="G4" s="368"/>
      <c r="H4" s="368"/>
      <c r="I4" s="368"/>
      <c r="J4" s="368"/>
      <c r="K4" s="368"/>
      <c r="L4" s="368"/>
      <c r="M4" s="378"/>
      <c r="N4" s="330"/>
      <c r="O4" s="331"/>
    </row>
    <row r="5" spans="1:15" x14ac:dyDescent="0.3">
      <c r="A5" s="332" t="s">
        <v>422</v>
      </c>
      <c r="B5" s="356">
        <v>11000</v>
      </c>
      <c r="C5" s="365">
        <v>44000</v>
      </c>
      <c r="D5" s="367"/>
      <c r="E5" s="368"/>
      <c r="F5" s="368"/>
      <c r="G5" s="368"/>
      <c r="H5" s="368">
        <v>55000</v>
      </c>
      <c r="I5" s="368"/>
      <c r="J5" s="368"/>
      <c r="K5" s="368"/>
      <c r="L5" s="368"/>
      <c r="M5" s="378">
        <v>4</v>
      </c>
      <c r="N5" s="380">
        <v>220000</v>
      </c>
      <c r="O5" s="381">
        <v>440408</v>
      </c>
    </row>
    <row r="6" spans="1:15" x14ac:dyDescent="0.3">
      <c r="A6" s="332" t="s">
        <v>423</v>
      </c>
      <c r="B6" s="324">
        <v>15400</v>
      </c>
      <c r="C6" s="365">
        <v>61600</v>
      </c>
      <c r="D6" s="367"/>
      <c r="E6" s="368"/>
      <c r="F6" s="368"/>
      <c r="G6" s="368"/>
      <c r="H6" s="368">
        <v>77000</v>
      </c>
      <c r="I6" s="368"/>
      <c r="J6" s="368"/>
      <c r="K6" s="368"/>
      <c r="L6" s="368"/>
      <c r="M6" s="378"/>
      <c r="N6" s="380">
        <v>630000</v>
      </c>
      <c r="O6" s="381">
        <v>923000</v>
      </c>
    </row>
    <row r="7" spans="1:15" x14ac:dyDescent="0.3">
      <c r="A7" s="354" t="s">
        <v>424</v>
      </c>
      <c r="B7" s="324">
        <v>8400</v>
      </c>
      <c r="C7" s="365">
        <v>33600</v>
      </c>
      <c r="D7" s="367"/>
      <c r="E7" s="368"/>
      <c r="F7" s="368"/>
      <c r="G7" s="368"/>
      <c r="H7" s="368">
        <v>42000</v>
      </c>
      <c r="I7" s="368"/>
      <c r="J7" s="368"/>
      <c r="K7" s="368"/>
      <c r="L7" s="368"/>
      <c r="M7" s="378">
        <v>1</v>
      </c>
      <c r="N7" s="380">
        <v>436924</v>
      </c>
      <c r="O7" s="381">
        <v>2072800</v>
      </c>
    </row>
    <row r="8" spans="1:15" x14ac:dyDescent="0.3">
      <c r="A8" s="332" t="s">
        <v>425</v>
      </c>
      <c r="B8" s="324">
        <v>17200</v>
      </c>
      <c r="C8" s="365">
        <v>68800</v>
      </c>
      <c r="D8" s="367"/>
      <c r="E8" s="368"/>
      <c r="F8" s="368"/>
      <c r="G8" s="368"/>
      <c r="H8" s="368">
        <v>86000</v>
      </c>
      <c r="I8" s="368"/>
      <c r="J8" s="368"/>
      <c r="K8" s="368"/>
      <c r="L8" s="368"/>
      <c r="M8" s="378">
        <v>2</v>
      </c>
      <c r="N8" s="380">
        <v>432000</v>
      </c>
      <c r="O8" s="381">
        <v>1914000</v>
      </c>
    </row>
    <row r="9" spans="1:15" x14ac:dyDescent="0.3">
      <c r="A9" s="332" t="s">
        <v>426</v>
      </c>
      <c r="B9" s="324">
        <v>17200</v>
      </c>
      <c r="C9" s="365">
        <v>68800</v>
      </c>
      <c r="D9" s="367"/>
      <c r="E9" s="368"/>
      <c r="F9" s="368"/>
      <c r="G9" s="368"/>
      <c r="H9" s="368">
        <v>86000</v>
      </c>
      <c r="I9" s="368"/>
      <c r="J9" s="368"/>
      <c r="K9" s="368"/>
      <c r="L9" s="368"/>
      <c r="M9" s="378">
        <v>1</v>
      </c>
      <c r="N9" s="380">
        <v>60000</v>
      </c>
      <c r="O9" s="374">
        <v>107000</v>
      </c>
    </row>
    <row r="10" spans="1:15" x14ac:dyDescent="0.3">
      <c r="A10" s="355" t="s">
        <v>427</v>
      </c>
      <c r="B10" s="324">
        <v>17200</v>
      </c>
      <c r="C10" s="365">
        <v>68800</v>
      </c>
      <c r="D10" s="370"/>
      <c r="E10" s="356"/>
      <c r="F10" s="356"/>
      <c r="G10" s="356"/>
      <c r="H10" s="368">
        <v>86000</v>
      </c>
      <c r="I10" s="356"/>
      <c r="J10" s="356"/>
      <c r="K10" s="356"/>
      <c r="L10" s="356"/>
      <c r="M10" s="371">
        <v>7</v>
      </c>
      <c r="N10" s="370">
        <v>446160</v>
      </c>
      <c r="O10" s="356">
        <v>2064000</v>
      </c>
    </row>
    <row r="11" spans="1:15" x14ac:dyDescent="0.3">
      <c r="A11" s="355" t="s">
        <v>428</v>
      </c>
      <c r="B11" s="324">
        <v>17200</v>
      </c>
      <c r="C11" s="365">
        <v>68800</v>
      </c>
      <c r="D11" s="370"/>
      <c r="E11" s="356"/>
      <c r="F11" s="356"/>
      <c r="G11" s="356"/>
      <c r="H11" s="368">
        <v>86000</v>
      </c>
      <c r="I11" s="356"/>
      <c r="J11" s="356"/>
      <c r="K11" s="356"/>
      <c r="L11" s="356"/>
      <c r="M11" s="371">
        <v>4</v>
      </c>
      <c r="N11" s="370">
        <v>528000</v>
      </c>
      <c r="O11" s="356">
        <v>181000</v>
      </c>
    </row>
    <row r="12" spans="1:15" s="141" customFormat="1" x14ac:dyDescent="0.3">
      <c r="A12" s="355" t="s">
        <v>430</v>
      </c>
      <c r="B12" s="324">
        <v>17200</v>
      </c>
      <c r="C12" s="365">
        <v>68800</v>
      </c>
      <c r="D12" s="370"/>
      <c r="E12" s="356"/>
      <c r="F12" s="356"/>
      <c r="G12" s="356"/>
      <c r="H12" s="368">
        <v>86000</v>
      </c>
      <c r="I12" s="356"/>
      <c r="J12" s="356"/>
      <c r="K12" s="356"/>
      <c r="L12" s="356"/>
      <c r="M12" s="371">
        <v>10</v>
      </c>
      <c r="N12" s="370">
        <v>412880</v>
      </c>
      <c r="O12" s="356">
        <v>1309000</v>
      </c>
    </row>
    <row r="13" spans="1:15" s="141" customFormat="1" x14ac:dyDescent="0.3">
      <c r="A13" s="374" t="s">
        <v>429</v>
      </c>
      <c r="B13" s="324">
        <v>17200</v>
      </c>
      <c r="C13" s="365">
        <v>68800</v>
      </c>
      <c r="D13" s="370"/>
      <c r="E13" s="356"/>
      <c r="F13" s="356"/>
      <c r="G13" s="356"/>
      <c r="H13" s="356">
        <v>86000</v>
      </c>
      <c r="I13" s="356"/>
      <c r="J13" s="356"/>
      <c r="K13" s="356"/>
      <c r="L13" s="356"/>
      <c r="M13" s="377">
        <v>2</v>
      </c>
      <c r="N13" s="382">
        <v>108504</v>
      </c>
      <c r="O13" s="356">
        <v>331000</v>
      </c>
    </row>
    <row r="14" spans="1:15" x14ac:dyDescent="0.3">
      <c r="A14" s="374" t="s">
        <v>431</v>
      </c>
      <c r="B14" s="356">
        <v>284750.44</v>
      </c>
      <c r="C14" s="365">
        <v>2562752.2799999998</v>
      </c>
      <c r="D14" s="370"/>
      <c r="E14" s="356"/>
      <c r="F14" s="356"/>
      <c r="G14" s="356"/>
      <c r="H14" s="356"/>
      <c r="I14" s="356"/>
      <c r="J14" s="356"/>
      <c r="K14" s="356"/>
      <c r="L14" s="356">
        <f>SUM(B14:C14)</f>
        <v>2847502.7199999997</v>
      </c>
      <c r="M14" s="379"/>
      <c r="N14" s="382"/>
      <c r="O14" s="356"/>
    </row>
    <row r="15" spans="1:15" x14ac:dyDescent="0.3">
      <c r="A15" s="374" t="s">
        <v>432</v>
      </c>
      <c r="B15" s="356">
        <v>15000</v>
      </c>
      <c r="C15" s="366">
        <v>60000</v>
      </c>
      <c r="D15" s="370"/>
      <c r="E15" s="356">
        <v>75000</v>
      </c>
      <c r="F15" s="356"/>
      <c r="G15" s="356"/>
      <c r="H15" s="356"/>
      <c r="I15" s="356"/>
      <c r="J15" s="356"/>
      <c r="K15" s="356"/>
      <c r="L15" s="356"/>
      <c r="M15" s="379"/>
      <c r="N15" s="382"/>
      <c r="O15" s="356"/>
    </row>
    <row r="16" spans="1:15" x14ac:dyDescent="0.3">
      <c r="A16" s="356" t="s">
        <v>168</v>
      </c>
      <c r="B16" s="356"/>
      <c r="C16" s="366"/>
      <c r="D16" s="370"/>
      <c r="E16" s="356"/>
      <c r="F16" s="356"/>
      <c r="G16" s="356"/>
      <c r="H16" s="356"/>
      <c r="I16" s="356" t="s">
        <v>436</v>
      </c>
      <c r="J16" s="356"/>
      <c r="K16" s="356"/>
      <c r="L16" s="356"/>
      <c r="M16" s="379">
        <v>44</v>
      </c>
      <c r="N16" s="382">
        <v>1164800</v>
      </c>
      <c r="O16" s="356"/>
    </row>
    <row r="17" spans="1:15" x14ac:dyDescent="0.3">
      <c r="A17" s="356" t="s">
        <v>433</v>
      </c>
      <c r="B17" s="356">
        <v>28214</v>
      </c>
      <c r="C17" s="366">
        <v>253923</v>
      </c>
      <c r="D17" s="370"/>
      <c r="E17" s="356"/>
      <c r="F17" s="356"/>
      <c r="G17" s="356"/>
      <c r="H17" s="356"/>
      <c r="I17" s="356">
        <f>SUM(B17:C17)</f>
        <v>282137</v>
      </c>
      <c r="J17" s="356"/>
      <c r="K17" s="356"/>
      <c r="L17" s="356"/>
      <c r="M17" s="379">
        <v>55</v>
      </c>
      <c r="N17" s="382">
        <v>1272000</v>
      </c>
      <c r="O17" s="356"/>
    </row>
    <row r="18" spans="1:15" x14ac:dyDescent="0.3">
      <c r="A18" s="356" t="s">
        <v>434</v>
      </c>
      <c r="B18" s="356">
        <v>9000</v>
      </c>
      <c r="C18" s="366">
        <v>36000</v>
      </c>
      <c r="D18" s="370">
        <v>45000</v>
      </c>
      <c r="E18" s="356"/>
      <c r="F18" s="356"/>
      <c r="G18" s="356"/>
      <c r="H18" s="356"/>
      <c r="I18" s="356"/>
      <c r="J18" s="356"/>
      <c r="K18" s="356"/>
      <c r="L18" s="356"/>
      <c r="M18" s="379">
        <v>1</v>
      </c>
      <c r="N18" s="382"/>
      <c r="O18" s="356"/>
    </row>
    <row r="19" spans="1:15" x14ac:dyDescent="0.3">
      <c r="A19" s="356" t="s">
        <v>435</v>
      </c>
      <c r="B19" s="356">
        <v>10000</v>
      </c>
      <c r="C19" s="366">
        <v>40000</v>
      </c>
      <c r="D19" s="370">
        <v>50000</v>
      </c>
      <c r="E19" s="356"/>
      <c r="F19" s="356"/>
      <c r="G19" s="356"/>
      <c r="H19" s="356"/>
      <c r="I19" s="356"/>
      <c r="J19" s="356"/>
      <c r="K19" s="356"/>
      <c r="L19" s="356"/>
      <c r="M19" s="379">
        <v>1.5</v>
      </c>
      <c r="N19" s="382"/>
      <c r="O19" s="356"/>
    </row>
    <row r="20" spans="1:15" ht="15" thickBot="1" x14ac:dyDescent="0.35">
      <c r="A20" s="245" t="s">
        <v>31</v>
      </c>
      <c r="B20" s="287">
        <f>SUM(B3:B19)</f>
        <v>580236.43999999994</v>
      </c>
      <c r="C20" s="295">
        <f>SUM(C3:C19)</f>
        <v>3847272.28</v>
      </c>
      <c r="D20" s="224">
        <f>SUM(D3:D19)</f>
        <v>597126</v>
      </c>
      <c r="E20" s="372">
        <f>SUM(E3:E19)</f>
        <v>75000</v>
      </c>
      <c r="F20" s="372">
        <f>SUM(F3:F9)</f>
        <v>0</v>
      </c>
      <c r="G20" s="372">
        <f>SUM(G3:G9)</f>
        <v>0</v>
      </c>
      <c r="H20" s="372">
        <f>SUM(H3:H19)</f>
        <v>690000</v>
      </c>
      <c r="I20" s="372">
        <f>SUM(I3:I19)</f>
        <v>282137</v>
      </c>
      <c r="J20" s="372">
        <f>SUM(J3:J9)</f>
        <v>0</v>
      </c>
      <c r="K20" s="372">
        <f>SUM(K3:K9)</f>
        <v>0</v>
      </c>
      <c r="L20" s="372">
        <f>SUM(L3:L19)</f>
        <v>2847502.7199999997</v>
      </c>
      <c r="M20" s="373">
        <f>SUM(M3:M19)</f>
        <v>132.5</v>
      </c>
      <c r="N20" s="375">
        <f>SUM(N3:N19)</f>
        <v>5928753</v>
      </c>
      <c r="O20" s="376">
        <f>SUM(O3:O19)</f>
        <v>9342208</v>
      </c>
    </row>
    <row r="21" spans="1:15" ht="15" thickBot="1" x14ac:dyDescent="0.35">
      <c r="A21" s="167" t="s">
        <v>162</v>
      </c>
      <c r="B21" s="351">
        <f>SUM(D20:L20)</f>
        <v>4491765.72</v>
      </c>
      <c r="C21" s="436"/>
      <c r="D21" s="437"/>
      <c r="E21" s="437"/>
      <c r="F21" s="437"/>
      <c r="G21" s="437"/>
      <c r="H21" s="437"/>
      <c r="I21" s="437"/>
      <c r="J21" s="437"/>
      <c r="K21" s="437"/>
      <c r="L21" s="437"/>
      <c r="M21" s="437"/>
      <c r="N21" s="437"/>
      <c r="O21" s="437"/>
    </row>
    <row r="22" spans="1:15" x14ac:dyDescent="0.3">
      <c r="A22" s="438"/>
      <c r="B22" s="438"/>
      <c r="C22" s="436"/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</row>
  </sheetData>
  <mergeCells count="5">
    <mergeCell ref="A1:C1"/>
    <mergeCell ref="D1:M1"/>
    <mergeCell ref="N1:O1"/>
    <mergeCell ref="C21:O22"/>
    <mergeCell ref="A22:B22"/>
  </mergeCells>
  <pageMargins left="0.7" right="0.7" top="0.75" bottom="0.75" header="0.3" footer="0.3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"/>
  <sheetViews>
    <sheetView workbookViewId="0">
      <selection activeCell="O17" sqref="A1:O17"/>
    </sheetView>
  </sheetViews>
  <sheetFormatPr defaultRowHeight="14.4" x14ac:dyDescent="0.3"/>
  <cols>
    <col min="1" max="1" width="35.33203125" bestFit="1" customWidth="1"/>
    <col min="2" max="2" width="12.88671875" bestFit="1" customWidth="1"/>
    <col min="3" max="3" width="11.5546875" bestFit="1" customWidth="1"/>
    <col min="4" max="4" width="11.109375" bestFit="1" customWidth="1"/>
    <col min="5" max="5" width="11.5546875" bestFit="1" customWidth="1"/>
    <col min="6" max="6" width="12" customWidth="1"/>
    <col min="7" max="7" width="11.109375" bestFit="1" customWidth="1"/>
    <col min="8" max="8" width="11.5546875" bestFit="1" customWidth="1"/>
    <col min="9" max="9" width="9.44140625" customWidth="1"/>
    <col min="12" max="12" width="12.5546875" bestFit="1" customWidth="1"/>
    <col min="15" max="15" width="11.109375" bestFit="1" customWidth="1"/>
  </cols>
  <sheetData>
    <row r="1" spans="1:15" ht="15" thickBot="1" x14ac:dyDescent="0.35">
      <c r="A1" s="439" t="s">
        <v>0</v>
      </c>
      <c r="B1" s="440"/>
      <c r="C1" s="441"/>
      <c r="D1" s="440" t="s">
        <v>1</v>
      </c>
      <c r="E1" s="440"/>
      <c r="F1" s="440"/>
      <c r="G1" s="440"/>
      <c r="H1" s="440"/>
      <c r="I1" s="440"/>
      <c r="J1" s="440"/>
      <c r="K1" s="440"/>
      <c r="L1" s="440"/>
      <c r="M1" s="440"/>
      <c r="N1" s="442" t="s">
        <v>376</v>
      </c>
      <c r="O1" s="443"/>
    </row>
    <row r="2" spans="1:15" ht="58.2" thickBot="1" x14ac:dyDescent="0.35">
      <c r="A2" s="242" t="s">
        <v>412</v>
      </c>
      <c r="B2" s="178" t="s">
        <v>3</v>
      </c>
      <c r="C2" s="290" t="s">
        <v>4</v>
      </c>
      <c r="D2" s="358" t="s">
        <v>5</v>
      </c>
      <c r="E2" s="359" t="s">
        <v>6</v>
      </c>
      <c r="F2" s="360" t="s">
        <v>341</v>
      </c>
      <c r="G2" s="359" t="s">
        <v>7</v>
      </c>
      <c r="H2" s="360" t="s">
        <v>355</v>
      </c>
      <c r="I2" s="359" t="s">
        <v>8</v>
      </c>
      <c r="J2" s="359" t="s">
        <v>9</v>
      </c>
      <c r="K2" s="360" t="s">
        <v>343</v>
      </c>
      <c r="L2" s="359" t="s">
        <v>11</v>
      </c>
      <c r="M2" s="361" t="s">
        <v>12</v>
      </c>
      <c r="N2" s="242" t="s">
        <v>407</v>
      </c>
      <c r="O2" s="235" t="s">
        <v>353</v>
      </c>
    </row>
    <row r="3" spans="1:15" x14ac:dyDescent="0.3">
      <c r="A3" s="314" t="s">
        <v>352</v>
      </c>
      <c r="B3" s="315">
        <v>82000</v>
      </c>
      <c r="C3" s="364">
        <v>320000</v>
      </c>
      <c r="D3" s="384">
        <f>SUM(B3:C3)</f>
        <v>402000</v>
      </c>
      <c r="E3" s="368"/>
      <c r="F3" s="368"/>
      <c r="G3" s="368"/>
      <c r="H3" s="368"/>
      <c r="I3" s="368"/>
      <c r="J3" s="368"/>
      <c r="K3" s="368"/>
      <c r="L3" s="368"/>
      <c r="M3" s="369"/>
      <c r="N3" s="357"/>
      <c r="O3" s="321"/>
    </row>
    <row r="4" spans="1:15" x14ac:dyDescent="0.3">
      <c r="A4" s="332" t="s">
        <v>417</v>
      </c>
      <c r="B4" s="303"/>
      <c r="C4" s="365"/>
      <c r="D4" s="367"/>
      <c r="E4" s="368"/>
      <c r="F4" s="368">
        <v>75000</v>
      </c>
      <c r="G4" s="368"/>
      <c r="H4" s="368"/>
      <c r="I4" s="368"/>
      <c r="J4" s="368"/>
      <c r="K4" s="368"/>
      <c r="L4" s="368"/>
      <c r="M4" s="369"/>
      <c r="N4" s="330"/>
      <c r="O4" s="331">
        <v>525000</v>
      </c>
    </row>
    <row r="5" spans="1:15" x14ac:dyDescent="0.3">
      <c r="A5" s="332" t="s">
        <v>56</v>
      </c>
      <c r="B5" s="303"/>
      <c r="C5" s="365"/>
      <c r="D5" s="367"/>
      <c r="E5" s="368">
        <v>25000</v>
      </c>
      <c r="F5" s="368"/>
      <c r="G5" s="368"/>
      <c r="H5" s="368"/>
      <c r="I5" s="368"/>
      <c r="J5" s="368"/>
      <c r="K5" s="368"/>
      <c r="L5" s="368"/>
      <c r="M5" s="369"/>
      <c r="N5" s="330"/>
      <c r="O5" s="331"/>
    </row>
    <row r="6" spans="1:15" x14ac:dyDescent="0.3">
      <c r="A6" s="332" t="s">
        <v>392</v>
      </c>
      <c r="B6" s="324"/>
      <c r="C6" s="365"/>
      <c r="D6" s="367"/>
      <c r="E6" s="368">
        <v>75000</v>
      </c>
      <c r="F6" s="368"/>
      <c r="G6" s="368"/>
      <c r="H6" s="368"/>
      <c r="I6" s="368"/>
      <c r="J6" s="368"/>
      <c r="K6" s="368"/>
      <c r="L6" s="368"/>
      <c r="M6" s="369"/>
      <c r="N6" s="330"/>
      <c r="O6" s="331"/>
    </row>
    <row r="7" spans="1:15" x14ac:dyDescent="0.3">
      <c r="A7" s="332" t="s">
        <v>354</v>
      </c>
      <c r="B7" s="324">
        <v>12885</v>
      </c>
      <c r="C7" s="365">
        <v>21939</v>
      </c>
      <c r="D7" s="367"/>
      <c r="E7" s="368">
        <v>34824</v>
      </c>
      <c r="F7" s="368"/>
      <c r="G7" s="368"/>
      <c r="H7" s="368"/>
      <c r="I7" s="368"/>
      <c r="J7" s="368"/>
      <c r="K7" s="368"/>
      <c r="L7" s="368"/>
      <c r="M7" s="369"/>
      <c r="N7" s="330"/>
      <c r="O7" s="331"/>
    </row>
    <row r="8" spans="1:15" x14ac:dyDescent="0.3">
      <c r="A8" s="332" t="s">
        <v>418</v>
      </c>
      <c r="B8" s="324">
        <v>5000</v>
      </c>
      <c r="C8" s="365">
        <v>45000</v>
      </c>
      <c r="D8" s="367"/>
      <c r="E8" s="368"/>
      <c r="F8" s="368">
        <v>50000</v>
      </c>
      <c r="G8" s="368"/>
      <c r="H8" s="368"/>
      <c r="I8" s="368"/>
      <c r="J8" s="368"/>
      <c r="K8" s="368"/>
      <c r="L8" s="368"/>
      <c r="M8" s="369"/>
      <c r="N8" s="330"/>
      <c r="O8" s="331">
        <v>118654</v>
      </c>
    </row>
    <row r="9" spans="1:15" x14ac:dyDescent="0.3">
      <c r="A9" s="332" t="s">
        <v>419</v>
      </c>
      <c r="B9" s="324">
        <v>15400</v>
      </c>
      <c r="C9" s="365">
        <v>138600</v>
      </c>
      <c r="D9" s="367"/>
      <c r="E9" s="368"/>
      <c r="F9" s="368"/>
      <c r="G9" s="368"/>
      <c r="H9" s="368"/>
      <c r="I9" s="368"/>
      <c r="J9" s="368"/>
      <c r="K9" s="368"/>
      <c r="L9" s="368">
        <v>154000</v>
      </c>
      <c r="M9" s="369"/>
      <c r="N9" s="330"/>
      <c r="O9" s="362"/>
    </row>
    <row r="10" spans="1:15" x14ac:dyDescent="0.3">
      <c r="A10" s="355" t="s">
        <v>420</v>
      </c>
      <c r="B10" s="356">
        <v>8600</v>
      </c>
      <c r="C10" s="366">
        <v>34400</v>
      </c>
      <c r="D10" s="370"/>
      <c r="E10" s="356"/>
      <c r="F10" s="356"/>
      <c r="G10" s="356"/>
      <c r="H10" s="356">
        <v>43000</v>
      </c>
      <c r="I10" s="356"/>
      <c r="J10" s="356"/>
      <c r="K10" s="356"/>
      <c r="L10" s="356"/>
      <c r="M10" s="371">
        <v>5</v>
      </c>
      <c r="N10" s="363"/>
      <c r="O10" s="303">
        <v>2450000</v>
      </c>
    </row>
    <row r="11" spans="1:15" x14ac:dyDescent="0.3">
      <c r="A11" s="355" t="s">
        <v>421</v>
      </c>
      <c r="B11" s="356">
        <v>8600</v>
      </c>
      <c r="C11" s="366">
        <v>34400</v>
      </c>
      <c r="D11" s="370"/>
      <c r="E11" s="356"/>
      <c r="F11" s="356"/>
      <c r="G11" s="356"/>
      <c r="H11" s="356">
        <v>43000</v>
      </c>
      <c r="I11" s="356"/>
      <c r="J11" s="356"/>
      <c r="K11" s="356"/>
      <c r="L11" s="356"/>
      <c r="M11" s="371">
        <v>6</v>
      </c>
      <c r="N11" s="363"/>
      <c r="O11" s="303">
        <v>350000</v>
      </c>
    </row>
    <row r="12" spans="1:15" ht="15" thickBot="1" x14ac:dyDescent="0.35">
      <c r="A12" s="355" t="s">
        <v>386</v>
      </c>
      <c r="B12" s="356">
        <v>8600</v>
      </c>
      <c r="C12" s="366">
        <v>34400</v>
      </c>
      <c r="D12" s="370"/>
      <c r="E12" s="356"/>
      <c r="F12" s="356"/>
      <c r="G12" s="356"/>
      <c r="H12" s="356">
        <v>43000</v>
      </c>
      <c r="I12" s="356"/>
      <c r="J12" s="356"/>
      <c r="K12" s="356"/>
      <c r="L12" s="356"/>
      <c r="M12" s="371">
        <v>5</v>
      </c>
      <c r="N12" s="363"/>
      <c r="O12" s="303">
        <v>1045000</v>
      </c>
    </row>
    <row r="13" spans="1:15" ht="15.6" thickTop="1" thickBot="1" x14ac:dyDescent="0.35">
      <c r="A13" s="245" t="s">
        <v>31</v>
      </c>
      <c r="B13" s="353">
        <f t="shared" ref="B13:L13" si="0">SUM(B3:B9)</f>
        <v>115285</v>
      </c>
      <c r="C13" s="352">
        <f t="shared" si="0"/>
        <v>525539</v>
      </c>
      <c r="D13" s="350">
        <f t="shared" si="0"/>
        <v>402000</v>
      </c>
      <c r="E13" s="312">
        <f t="shared" si="0"/>
        <v>134824</v>
      </c>
      <c r="F13" s="312">
        <f t="shared" si="0"/>
        <v>125000</v>
      </c>
      <c r="G13" s="312">
        <f t="shared" si="0"/>
        <v>0</v>
      </c>
      <c r="H13" s="312">
        <f t="shared" si="0"/>
        <v>0</v>
      </c>
      <c r="I13" s="312">
        <f t="shared" si="0"/>
        <v>0</v>
      </c>
      <c r="J13" s="312">
        <f t="shared" si="0"/>
        <v>0</v>
      </c>
      <c r="K13" s="312">
        <f t="shared" si="0"/>
        <v>0</v>
      </c>
      <c r="L13" s="312">
        <f t="shared" si="0"/>
        <v>154000</v>
      </c>
      <c r="M13" s="313">
        <f>SUM(M3:M12)</f>
        <v>16</v>
      </c>
      <c r="N13" s="240">
        <f>SUM(N3:N9)</f>
        <v>0</v>
      </c>
      <c r="O13" s="241">
        <f>SUM(O3:O9)</f>
        <v>643654</v>
      </c>
    </row>
    <row r="14" spans="1:15" ht="15" thickBot="1" x14ac:dyDescent="0.35">
      <c r="A14" s="167" t="s">
        <v>162</v>
      </c>
      <c r="B14" s="351">
        <f>SUM(D13:L13)</f>
        <v>815824</v>
      </c>
      <c r="C14" s="436"/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437"/>
      <c r="O14" s="437"/>
    </row>
    <row r="15" spans="1:15" x14ac:dyDescent="0.3">
      <c r="A15" s="438"/>
      <c r="B15" s="438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</row>
  </sheetData>
  <mergeCells count="5">
    <mergeCell ref="A1:C1"/>
    <mergeCell ref="D1:M1"/>
    <mergeCell ref="N1:O1"/>
    <mergeCell ref="C14:O15"/>
    <mergeCell ref="A15:B15"/>
  </mergeCells>
  <pageMargins left="0.7" right="0.7" top="0.75" bottom="0.75" header="0.3" footer="0.3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topLeftCell="G17" workbookViewId="0">
      <selection activeCell="O30" sqref="A1:O30"/>
    </sheetView>
  </sheetViews>
  <sheetFormatPr defaultRowHeight="14.4" x14ac:dyDescent="0.3"/>
  <cols>
    <col min="1" max="1" width="42.6640625" customWidth="1"/>
    <col min="2" max="2" width="13.44140625" customWidth="1"/>
    <col min="3" max="3" width="13.109375" customWidth="1"/>
    <col min="4" max="4" width="16.88671875" customWidth="1"/>
    <col min="5" max="5" width="15" customWidth="1"/>
    <col min="7" max="7" width="11.109375" bestFit="1" customWidth="1"/>
    <col min="8" max="8" width="11.44140625" customWidth="1"/>
    <col min="9" max="9" width="14.6640625" customWidth="1"/>
    <col min="10" max="10" width="12.88671875" customWidth="1"/>
    <col min="11" max="11" width="14.88671875" customWidth="1"/>
    <col min="12" max="12" width="13.44140625" customWidth="1"/>
    <col min="13" max="13" width="10.6640625" customWidth="1"/>
    <col min="14" max="14" width="13.5546875" customWidth="1"/>
    <col min="15" max="15" width="17.88671875" customWidth="1"/>
  </cols>
  <sheetData>
    <row r="1" spans="1:15" ht="15" thickBot="1" x14ac:dyDescent="0.35">
      <c r="A1" s="439" t="s">
        <v>0</v>
      </c>
      <c r="B1" s="440"/>
      <c r="C1" s="441"/>
      <c r="D1" s="440" t="s">
        <v>1</v>
      </c>
      <c r="E1" s="440"/>
      <c r="F1" s="440"/>
      <c r="G1" s="440"/>
      <c r="H1" s="440"/>
      <c r="I1" s="440"/>
      <c r="J1" s="440"/>
      <c r="K1" s="440"/>
      <c r="L1" s="440"/>
      <c r="M1" s="440"/>
      <c r="N1" s="442" t="s">
        <v>376</v>
      </c>
      <c r="O1" s="443"/>
    </row>
    <row r="2" spans="1:15" ht="58.2" thickBot="1" x14ac:dyDescent="0.35">
      <c r="A2" s="242" t="s">
        <v>412</v>
      </c>
      <c r="B2" s="178" t="s">
        <v>3</v>
      </c>
      <c r="C2" s="290" t="s">
        <v>4</v>
      </c>
      <c r="D2" s="242" t="s">
        <v>5</v>
      </c>
      <c r="E2" s="178" t="s">
        <v>6</v>
      </c>
      <c r="F2" s="182" t="s">
        <v>341</v>
      </c>
      <c r="G2" s="178" t="s">
        <v>7</v>
      </c>
      <c r="H2" s="182" t="s">
        <v>355</v>
      </c>
      <c r="I2" s="178" t="s">
        <v>8</v>
      </c>
      <c r="J2" s="178" t="s">
        <v>9</v>
      </c>
      <c r="K2" s="182" t="s">
        <v>343</v>
      </c>
      <c r="L2" s="178" t="s">
        <v>11</v>
      </c>
      <c r="M2" s="183" t="s">
        <v>12</v>
      </c>
      <c r="N2" s="242" t="s">
        <v>407</v>
      </c>
      <c r="O2" s="235" t="s">
        <v>353</v>
      </c>
    </row>
    <row r="3" spans="1:15" x14ac:dyDescent="0.3">
      <c r="A3" s="314" t="s">
        <v>352</v>
      </c>
      <c r="B3" s="315">
        <v>82000</v>
      </c>
      <c r="C3" s="316">
        <v>320000</v>
      </c>
      <c r="D3" s="317">
        <f>SUM(B3:C3)</f>
        <v>402000</v>
      </c>
      <c r="E3" s="318"/>
      <c r="F3" s="315"/>
      <c r="G3" s="315"/>
      <c r="H3" s="315"/>
      <c r="I3" s="315"/>
      <c r="J3" s="315"/>
      <c r="K3" s="315"/>
      <c r="L3" s="315"/>
      <c r="M3" s="319"/>
      <c r="N3" s="320"/>
      <c r="O3" s="321"/>
    </row>
    <row r="4" spans="1:15" x14ac:dyDescent="0.3">
      <c r="A4" s="332" t="s">
        <v>23</v>
      </c>
      <c r="B4" s="303"/>
      <c r="C4" s="324">
        <v>43000</v>
      </c>
      <c r="D4" s="334"/>
      <c r="E4" s="335"/>
      <c r="F4" s="324"/>
      <c r="G4" s="324"/>
      <c r="H4" s="324">
        <v>43000</v>
      </c>
      <c r="I4" s="324"/>
      <c r="J4" s="324"/>
      <c r="K4" s="324"/>
      <c r="L4" s="324"/>
      <c r="M4" s="337"/>
      <c r="N4" s="338"/>
      <c r="O4" s="331"/>
    </row>
    <row r="5" spans="1:15" x14ac:dyDescent="0.3">
      <c r="A5" s="332" t="s">
        <v>398</v>
      </c>
      <c r="B5" s="303"/>
      <c r="C5" s="324">
        <v>81013</v>
      </c>
      <c r="D5" s="334"/>
      <c r="E5" s="335"/>
      <c r="F5" s="324"/>
      <c r="G5" s="324"/>
      <c r="H5" s="324">
        <v>81013</v>
      </c>
      <c r="I5" s="324"/>
      <c r="J5" s="324"/>
      <c r="K5" s="324"/>
      <c r="L5" s="324"/>
      <c r="M5" s="329">
        <v>1</v>
      </c>
      <c r="N5" s="330">
        <v>81013</v>
      </c>
      <c r="O5" s="331"/>
    </row>
    <row r="6" spans="1:15" x14ac:dyDescent="0.3">
      <c r="A6" s="332" t="s">
        <v>392</v>
      </c>
      <c r="B6" s="324">
        <v>15000</v>
      </c>
      <c r="C6" s="335">
        <v>60000</v>
      </c>
      <c r="D6" s="334"/>
      <c r="E6" s="335">
        <f>SUM(B6:D6)</f>
        <v>75000</v>
      </c>
      <c r="F6" s="324"/>
      <c r="G6" s="324"/>
      <c r="H6" s="324"/>
      <c r="I6" s="324"/>
      <c r="J6" s="324"/>
      <c r="K6" s="324"/>
      <c r="L6" s="324"/>
      <c r="M6" s="329"/>
      <c r="N6" s="330">
        <v>0</v>
      </c>
      <c r="O6" s="331"/>
    </row>
    <row r="7" spans="1:15" x14ac:dyDescent="0.3">
      <c r="A7" s="332" t="s">
        <v>354</v>
      </c>
      <c r="B7" s="324">
        <v>12509.7</v>
      </c>
      <c r="C7" s="333">
        <v>21300.3</v>
      </c>
      <c r="D7" s="334"/>
      <c r="E7" s="335">
        <f>SUM(B7:C7)</f>
        <v>33810</v>
      </c>
      <c r="F7" s="324"/>
      <c r="G7" s="324"/>
      <c r="H7" s="324"/>
      <c r="I7" s="324"/>
      <c r="J7" s="324"/>
      <c r="K7" s="324"/>
      <c r="L7" s="324"/>
      <c r="M7" s="329">
        <v>0</v>
      </c>
      <c r="N7" s="330">
        <v>0</v>
      </c>
      <c r="O7" s="331"/>
    </row>
    <row r="8" spans="1:15" x14ac:dyDescent="0.3">
      <c r="A8" s="332" t="s">
        <v>414</v>
      </c>
      <c r="B8" s="324">
        <v>706500</v>
      </c>
      <c r="C8" s="333">
        <v>78500</v>
      </c>
      <c r="D8" s="334"/>
      <c r="E8" s="324"/>
      <c r="F8" s="324"/>
      <c r="G8" s="324">
        <v>785000</v>
      </c>
      <c r="H8" s="324"/>
      <c r="I8" s="324"/>
      <c r="J8" s="324"/>
      <c r="K8" s="324"/>
      <c r="L8" s="324"/>
      <c r="M8" s="329"/>
      <c r="N8" s="330"/>
      <c r="O8" s="331"/>
    </row>
    <row r="9" spans="1:15" s="141" customFormat="1" ht="15" thickBot="1" x14ac:dyDescent="0.35">
      <c r="A9" s="332" t="s">
        <v>413</v>
      </c>
      <c r="B9" s="324"/>
      <c r="C9" s="341"/>
      <c r="D9" s="349"/>
      <c r="E9" s="335">
        <v>5000</v>
      </c>
      <c r="F9" s="324"/>
      <c r="G9" s="324"/>
      <c r="H9" s="324"/>
      <c r="I9" s="324"/>
      <c r="J9" s="324"/>
      <c r="K9" s="324"/>
      <c r="L9" s="324"/>
      <c r="M9" s="329"/>
      <c r="N9" s="330"/>
      <c r="O9" s="331"/>
    </row>
    <row r="10" spans="1:15" ht="15.6" thickTop="1" thickBot="1" x14ac:dyDescent="0.35">
      <c r="A10" s="245" t="s">
        <v>31</v>
      </c>
      <c r="B10" s="353">
        <f t="shared" ref="B10:O10" si="0">SUM(B3:B9)</f>
        <v>816009.7</v>
      </c>
      <c r="C10" s="352">
        <f t="shared" si="0"/>
        <v>603813.30000000005</v>
      </c>
      <c r="D10" s="350">
        <f t="shared" si="0"/>
        <v>402000</v>
      </c>
      <c r="E10" s="312">
        <f t="shared" si="0"/>
        <v>113810</v>
      </c>
      <c r="F10" s="312">
        <f t="shared" si="0"/>
        <v>0</v>
      </c>
      <c r="G10" s="312">
        <f t="shared" si="0"/>
        <v>785000</v>
      </c>
      <c r="H10" s="312">
        <f t="shared" si="0"/>
        <v>124013</v>
      </c>
      <c r="I10" s="312">
        <f t="shared" si="0"/>
        <v>0</v>
      </c>
      <c r="J10" s="312">
        <f t="shared" si="0"/>
        <v>0</v>
      </c>
      <c r="K10" s="312">
        <f t="shared" si="0"/>
        <v>0</v>
      </c>
      <c r="L10" s="312">
        <f t="shared" si="0"/>
        <v>0</v>
      </c>
      <c r="M10" s="313">
        <f t="shared" si="0"/>
        <v>1</v>
      </c>
      <c r="N10" s="240">
        <f t="shared" si="0"/>
        <v>81013</v>
      </c>
      <c r="O10" s="241">
        <f t="shared" si="0"/>
        <v>0</v>
      </c>
    </row>
    <row r="11" spans="1:15" ht="15" thickBot="1" x14ac:dyDescent="0.35">
      <c r="A11" s="167" t="s">
        <v>162</v>
      </c>
      <c r="B11" s="351">
        <f>SUM(D10:L10)</f>
        <v>1424823</v>
      </c>
      <c r="C11" s="436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</row>
    <row r="12" spans="1:15" x14ac:dyDescent="0.3">
      <c r="A12" s="438"/>
      <c r="B12" s="438"/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</row>
    <row r="14" spans="1:15" ht="15" thickBot="1" x14ac:dyDescent="0.35"/>
    <row r="15" spans="1:15" ht="15" thickBot="1" x14ac:dyDescent="0.35">
      <c r="A15" s="444" t="s">
        <v>405</v>
      </c>
      <c r="B15" s="445"/>
      <c r="C15" s="444" t="s">
        <v>380</v>
      </c>
      <c r="D15" s="445"/>
    </row>
    <row r="16" spans="1:15" x14ac:dyDescent="0.3">
      <c r="A16" s="252" t="s">
        <v>404</v>
      </c>
      <c r="B16" s="284" t="s">
        <v>379</v>
      </c>
      <c r="C16" s="298" t="s">
        <v>4</v>
      </c>
      <c r="D16" s="299" t="s">
        <v>365</v>
      </c>
    </row>
    <row r="17" spans="1:4" s="141" customFormat="1" x14ac:dyDescent="0.3">
      <c r="A17" s="303" t="s">
        <v>416</v>
      </c>
      <c r="B17" s="237">
        <v>221721</v>
      </c>
      <c r="C17" s="335">
        <v>215069.4</v>
      </c>
      <c r="D17" s="333">
        <v>6651.6</v>
      </c>
    </row>
    <row r="18" spans="1:4" x14ac:dyDescent="0.3">
      <c r="A18" s="303" t="s">
        <v>415</v>
      </c>
      <c r="B18" s="237">
        <v>123710</v>
      </c>
      <c r="C18" s="271">
        <v>119998.7</v>
      </c>
      <c r="D18" s="277">
        <v>3711.3</v>
      </c>
    </row>
    <row r="19" spans="1:4" x14ac:dyDescent="0.3">
      <c r="A19" s="216" t="s">
        <v>372</v>
      </c>
      <c r="B19" s="296">
        <f>SUM(B17:B18)</f>
        <v>345431</v>
      </c>
      <c r="C19" s="300">
        <f>SUM(C18:C18)</f>
        <v>119998.7</v>
      </c>
      <c r="D19" s="250">
        <f>SUM(D18:D18)</f>
        <v>3711.3</v>
      </c>
    </row>
  </sheetData>
  <mergeCells count="7">
    <mergeCell ref="A15:B15"/>
    <mergeCell ref="C15:D15"/>
    <mergeCell ref="A1:C1"/>
    <mergeCell ref="D1:M1"/>
    <mergeCell ref="N1:O1"/>
    <mergeCell ref="C11:O12"/>
    <mergeCell ref="A12:B12"/>
  </mergeCells>
  <pageMargins left="0.7" right="0.7" top="0.75" bottom="0.75" header="0.3" footer="0.3"/>
  <pageSetup scale="5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9"/>
  <sheetViews>
    <sheetView topLeftCell="A40" zoomScale="80" zoomScaleNormal="80" workbookViewId="0">
      <selection activeCell="O57" sqref="A1:O57"/>
    </sheetView>
  </sheetViews>
  <sheetFormatPr defaultRowHeight="14.4" x14ac:dyDescent="0.3"/>
  <cols>
    <col min="1" max="1" width="60.33203125" customWidth="1"/>
    <col min="2" max="2" width="13.109375" customWidth="1"/>
    <col min="3" max="3" width="15.109375" customWidth="1"/>
    <col min="4" max="4" width="14.109375" customWidth="1"/>
    <col min="5" max="5" width="15.109375" customWidth="1"/>
    <col min="6" max="6" width="14.5546875" customWidth="1"/>
    <col min="8" max="8" width="15.6640625" customWidth="1"/>
    <col min="9" max="9" width="12.33203125" customWidth="1"/>
    <col min="11" max="11" width="13.109375" customWidth="1"/>
    <col min="12" max="12" width="11.109375" customWidth="1"/>
    <col min="13" max="13" width="10.6640625" customWidth="1"/>
    <col min="14" max="14" width="15.88671875" customWidth="1"/>
    <col min="15" max="15" width="17.5546875" customWidth="1"/>
    <col min="16" max="16" width="14.109375" customWidth="1"/>
  </cols>
  <sheetData>
    <row r="1" spans="1:15" ht="15" thickBot="1" x14ac:dyDescent="0.35">
      <c r="A1" s="439" t="s">
        <v>0</v>
      </c>
      <c r="B1" s="440"/>
      <c r="C1" s="441"/>
      <c r="D1" s="440" t="s">
        <v>1</v>
      </c>
      <c r="E1" s="440"/>
      <c r="F1" s="440"/>
      <c r="G1" s="440"/>
      <c r="H1" s="440"/>
      <c r="I1" s="440"/>
      <c r="J1" s="440"/>
      <c r="K1" s="440"/>
      <c r="L1" s="440"/>
      <c r="M1" s="440"/>
      <c r="N1" s="442" t="s">
        <v>376</v>
      </c>
      <c r="O1" s="443"/>
    </row>
    <row r="2" spans="1:15" ht="43.8" thickBot="1" x14ac:dyDescent="0.35">
      <c r="A2" s="242" t="s">
        <v>393</v>
      </c>
      <c r="B2" s="178" t="s">
        <v>3</v>
      </c>
      <c r="C2" s="290" t="s">
        <v>4</v>
      </c>
      <c r="D2" s="242" t="s">
        <v>5</v>
      </c>
      <c r="E2" s="178" t="s">
        <v>6</v>
      </c>
      <c r="F2" s="182" t="s">
        <v>341</v>
      </c>
      <c r="G2" s="178" t="s">
        <v>7</v>
      </c>
      <c r="H2" s="182" t="s">
        <v>355</v>
      </c>
      <c r="I2" s="178" t="s">
        <v>8</v>
      </c>
      <c r="J2" s="178" t="s">
        <v>9</v>
      </c>
      <c r="K2" s="182" t="s">
        <v>343</v>
      </c>
      <c r="L2" s="178" t="s">
        <v>11</v>
      </c>
      <c r="M2" s="183" t="s">
        <v>12</v>
      </c>
      <c r="N2" s="242" t="s">
        <v>407</v>
      </c>
      <c r="O2" s="235" t="s">
        <v>353</v>
      </c>
    </row>
    <row r="3" spans="1:15" s="322" customFormat="1" x14ac:dyDescent="0.3">
      <c r="A3" s="314" t="s">
        <v>352</v>
      </c>
      <c r="B3" s="315">
        <v>82000</v>
      </c>
      <c r="C3" s="316">
        <v>320000</v>
      </c>
      <c r="D3" s="317">
        <f>SUM(B3:C3)</f>
        <v>402000</v>
      </c>
      <c r="E3" s="318"/>
      <c r="F3" s="315"/>
      <c r="G3" s="315"/>
      <c r="H3" s="315"/>
      <c r="I3" s="315"/>
      <c r="J3" s="315"/>
      <c r="K3" s="315"/>
      <c r="L3" s="315"/>
      <c r="M3" s="319"/>
      <c r="N3" s="320"/>
      <c r="O3" s="321"/>
    </row>
    <row r="4" spans="1:15" s="342" customFormat="1" x14ac:dyDescent="0.3">
      <c r="A4" s="160" t="s">
        <v>409</v>
      </c>
      <c r="B4" s="263">
        <v>8826.7000000000007</v>
      </c>
      <c r="C4" s="277">
        <v>79440.3</v>
      </c>
      <c r="D4" s="270"/>
      <c r="E4" s="263"/>
      <c r="F4" s="263"/>
      <c r="G4" s="263"/>
      <c r="H4" s="263"/>
      <c r="I4" s="263"/>
      <c r="J4" s="263"/>
      <c r="K4" s="263">
        <f>SUM(B4:J4)</f>
        <v>88267</v>
      </c>
      <c r="L4" s="263"/>
      <c r="M4" s="213"/>
      <c r="N4" s="165"/>
      <c r="O4" s="236"/>
    </row>
    <row r="5" spans="1:15" s="322" customFormat="1" x14ac:dyDescent="0.3">
      <c r="A5" s="323" t="s">
        <v>410</v>
      </c>
      <c r="B5" s="324">
        <v>5000</v>
      </c>
      <c r="C5" s="325">
        <v>45000</v>
      </c>
      <c r="D5" s="326"/>
      <c r="E5" s="327"/>
      <c r="F5" s="328"/>
      <c r="G5" s="328"/>
      <c r="H5" s="328"/>
      <c r="I5" s="328"/>
      <c r="J5" s="328"/>
      <c r="K5" s="328">
        <v>50000</v>
      </c>
      <c r="L5" s="328"/>
      <c r="M5" s="329"/>
      <c r="N5" s="330"/>
      <c r="O5" s="331"/>
    </row>
    <row r="6" spans="1:15" s="342" customFormat="1" x14ac:dyDescent="0.3">
      <c r="A6" s="306" t="s">
        <v>411</v>
      </c>
      <c r="B6" s="263">
        <v>2500</v>
      </c>
      <c r="C6" s="307">
        <v>22500</v>
      </c>
      <c r="D6" s="308"/>
      <c r="E6" s="309">
        <v>25000</v>
      </c>
      <c r="F6" s="310"/>
      <c r="G6" s="310"/>
      <c r="H6" s="310"/>
      <c r="I6" s="310"/>
      <c r="J6" s="310"/>
      <c r="K6" s="310"/>
      <c r="L6" s="310"/>
      <c r="M6" s="213"/>
      <c r="N6" s="165"/>
      <c r="O6" s="236"/>
    </row>
    <row r="7" spans="1:15" s="322" customFormat="1" x14ac:dyDescent="0.3">
      <c r="A7" s="323" t="s">
        <v>394</v>
      </c>
      <c r="B7" s="324">
        <v>193500</v>
      </c>
      <c r="C7" s="325">
        <v>1741500</v>
      </c>
      <c r="D7" s="326"/>
      <c r="E7" s="327"/>
      <c r="F7" s="328"/>
      <c r="G7" s="328"/>
      <c r="H7" s="328"/>
      <c r="I7" s="328"/>
      <c r="J7" s="328"/>
      <c r="K7" s="328">
        <v>1935000</v>
      </c>
      <c r="L7" s="328"/>
      <c r="M7" s="329"/>
      <c r="N7" s="330"/>
      <c r="O7" s="331"/>
    </row>
    <row r="8" spans="1:15" s="342" customFormat="1" x14ac:dyDescent="0.3">
      <c r="A8" s="306" t="s">
        <v>400</v>
      </c>
      <c r="B8" s="263">
        <v>3711</v>
      </c>
      <c r="C8" s="307">
        <v>119999</v>
      </c>
      <c r="D8" s="308"/>
      <c r="E8" s="309"/>
      <c r="F8" s="310"/>
      <c r="G8" s="310"/>
      <c r="H8" s="310"/>
      <c r="I8" s="310"/>
      <c r="J8" s="310"/>
      <c r="K8" s="310">
        <v>123710</v>
      </c>
      <c r="L8" s="310"/>
      <c r="M8" s="213"/>
      <c r="N8" s="165"/>
      <c r="O8" s="236"/>
    </row>
    <row r="9" spans="1:15" s="322" customFormat="1" x14ac:dyDescent="0.3">
      <c r="A9" s="332" t="s">
        <v>402</v>
      </c>
      <c r="B9" s="324">
        <v>12500</v>
      </c>
      <c r="C9" s="333">
        <v>112500</v>
      </c>
      <c r="D9" s="334"/>
      <c r="E9" s="335"/>
      <c r="F9" s="324"/>
      <c r="G9" s="324"/>
      <c r="H9" s="324"/>
      <c r="I9" s="324"/>
      <c r="J9" s="324"/>
      <c r="K9" s="324">
        <v>125000</v>
      </c>
      <c r="L9" s="324"/>
      <c r="M9" s="329"/>
      <c r="N9" s="330"/>
      <c r="O9" s="331"/>
    </row>
    <row r="10" spans="1:15" s="342" customFormat="1" x14ac:dyDescent="0.3">
      <c r="A10" s="160" t="s">
        <v>385</v>
      </c>
      <c r="B10" s="263">
        <v>8800</v>
      </c>
      <c r="C10" s="271">
        <v>2200</v>
      </c>
      <c r="D10" s="270"/>
      <c r="E10" s="271"/>
      <c r="F10" s="263"/>
      <c r="G10" s="263"/>
      <c r="H10" s="263">
        <f>SUM(B10:C10)</f>
        <v>11000</v>
      </c>
      <c r="I10" s="263"/>
      <c r="J10" s="263"/>
      <c r="K10" s="263"/>
      <c r="L10" s="263"/>
      <c r="M10" s="213">
        <v>2</v>
      </c>
      <c r="N10" s="165">
        <v>41000</v>
      </c>
      <c r="O10" s="236">
        <v>172000</v>
      </c>
    </row>
    <row r="11" spans="1:15" s="322" customFormat="1" x14ac:dyDescent="0.3">
      <c r="A11" s="323" t="s">
        <v>397</v>
      </c>
      <c r="B11" s="324">
        <v>8600</v>
      </c>
      <c r="C11" s="325">
        <v>34400</v>
      </c>
      <c r="D11" s="326"/>
      <c r="E11" s="327"/>
      <c r="F11" s="328"/>
      <c r="G11" s="328"/>
      <c r="H11" s="328">
        <v>43000</v>
      </c>
      <c r="I11" s="328"/>
      <c r="J11" s="328"/>
      <c r="K11" s="328"/>
      <c r="L11" s="328"/>
      <c r="M11" s="336">
        <v>5</v>
      </c>
      <c r="N11" s="330">
        <v>165000</v>
      </c>
      <c r="O11" s="331">
        <v>353000</v>
      </c>
    </row>
    <row r="12" spans="1:15" s="342" customFormat="1" x14ac:dyDescent="0.3">
      <c r="A12" s="306" t="s">
        <v>403</v>
      </c>
      <c r="B12" s="263">
        <v>4230000</v>
      </c>
      <c r="C12" s="307">
        <v>470000</v>
      </c>
      <c r="D12" s="308"/>
      <c r="E12" s="309">
        <v>4700000</v>
      </c>
      <c r="F12" s="310"/>
      <c r="G12" s="310"/>
      <c r="H12" s="310"/>
      <c r="I12" s="310"/>
      <c r="J12" s="310"/>
      <c r="K12" s="310"/>
      <c r="L12" s="310"/>
      <c r="M12" s="213">
        <v>177</v>
      </c>
      <c r="N12" s="165">
        <v>19488475</v>
      </c>
      <c r="O12" s="236">
        <v>3000000000</v>
      </c>
    </row>
    <row r="13" spans="1:15" s="322" customFormat="1" x14ac:dyDescent="0.3">
      <c r="A13" s="332" t="s">
        <v>388</v>
      </c>
      <c r="B13" s="324">
        <v>32000</v>
      </c>
      <c r="C13" s="335">
        <v>8000</v>
      </c>
      <c r="D13" s="334"/>
      <c r="E13" s="335"/>
      <c r="F13" s="324"/>
      <c r="G13" s="324"/>
      <c r="H13" s="324">
        <f>SUM(B13:G13)</f>
        <v>40000</v>
      </c>
      <c r="I13" s="324"/>
      <c r="J13" s="324"/>
      <c r="K13" s="324"/>
      <c r="L13" s="324"/>
      <c r="M13" s="337"/>
      <c r="N13" s="338"/>
      <c r="O13" s="331">
        <v>452000</v>
      </c>
    </row>
    <row r="14" spans="1:15" s="342" customFormat="1" x14ac:dyDescent="0.3">
      <c r="A14" s="306" t="s">
        <v>389</v>
      </c>
      <c r="B14" s="263">
        <v>34300</v>
      </c>
      <c r="C14" s="309">
        <v>308700</v>
      </c>
      <c r="D14" s="308"/>
      <c r="E14" s="309"/>
      <c r="F14" s="310"/>
      <c r="G14" s="310"/>
      <c r="H14" s="310"/>
      <c r="I14" s="310">
        <f>SUM(B14:H14)</f>
        <v>343000</v>
      </c>
      <c r="J14" s="310"/>
      <c r="K14" s="310"/>
      <c r="L14" s="310"/>
      <c r="N14" s="230"/>
      <c r="O14" s="236"/>
    </row>
    <row r="15" spans="1:15" s="322" customFormat="1" x14ac:dyDescent="0.3">
      <c r="A15" s="323" t="s">
        <v>390</v>
      </c>
      <c r="B15" s="324">
        <v>68250</v>
      </c>
      <c r="C15" s="327">
        <v>614250</v>
      </c>
      <c r="D15" s="326"/>
      <c r="E15" s="327">
        <f>SUM(B15:D15)</f>
        <v>682500</v>
      </c>
      <c r="F15" s="328"/>
      <c r="G15" s="328"/>
      <c r="H15" s="328"/>
      <c r="I15" s="328"/>
      <c r="J15" s="328"/>
      <c r="K15" s="328"/>
      <c r="L15" s="328"/>
      <c r="M15" s="339">
        <v>39</v>
      </c>
      <c r="N15" s="338">
        <v>2100000</v>
      </c>
      <c r="O15" s="331">
        <v>155000000</v>
      </c>
    </row>
    <row r="16" spans="1:15" s="342" customFormat="1" x14ac:dyDescent="0.3">
      <c r="A16" s="343" t="s">
        <v>386</v>
      </c>
      <c r="B16" s="344">
        <v>2808.6</v>
      </c>
      <c r="C16" s="345">
        <v>11234.4</v>
      </c>
      <c r="D16" s="346"/>
      <c r="E16" s="344"/>
      <c r="F16" s="344"/>
      <c r="G16" s="344"/>
      <c r="H16" s="344">
        <f>SUM(B16:G16)</f>
        <v>14043</v>
      </c>
      <c r="I16" s="344"/>
      <c r="J16" s="344"/>
      <c r="K16" s="344"/>
      <c r="L16" s="344"/>
      <c r="M16" s="311">
        <v>3</v>
      </c>
      <c r="N16" s="347">
        <v>162000</v>
      </c>
      <c r="O16" s="348">
        <v>285957</v>
      </c>
    </row>
    <row r="17" spans="1:15" s="322" customFormat="1" x14ac:dyDescent="0.3">
      <c r="A17" s="340" t="s">
        <v>387</v>
      </c>
      <c r="B17" s="324">
        <v>8600</v>
      </c>
      <c r="C17" s="333">
        <v>34400</v>
      </c>
      <c r="D17" s="334"/>
      <c r="E17" s="324"/>
      <c r="F17" s="324"/>
      <c r="G17" s="324"/>
      <c r="H17" s="324">
        <f>SUM(B17+C17)</f>
        <v>43000</v>
      </c>
      <c r="I17" s="324"/>
      <c r="J17" s="324"/>
      <c r="K17" s="324"/>
      <c r="L17" s="324"/>
      <c r="M17" s="329"/>
      <c r="N17" s="330"/>
      <c r="O17" s="331">
        <v>492000</v>
      </c>
    </row>
    <row r="18" spans="1:15" s="342" customFormat="1" x14ac:dyDescent="0.3">
      <c r="A18" s="160" t="s">
        <v>384</v>
      </c>
      <c r="B18" s="263">
        <v>8727.2000000000007</v>
      </c>
      <c r="C18" s="271">
        <v>34908.800000000003</v>
      </c>
      <c r="D18" s="270"/>
      <c r="E18" s="271"/>
      <c r="F18" s="263"/>
      <c r="G18" s="263"/>
      <c r="H18" s="263">
        <f>SUM(B18:G18)</f>
        <v>43636</v>
      </c>
      <c r="I18" s="263"/>
      <c r="J18" s="263"/>
      <c r="K18" s="263"/>
      <c r="L18" s="263"/>
      <c r="M18" s="213"/>
      <c r="N18" s="165"/>
      <c r="O18" s="236">
        <v>1031364</v>
      </c>
    </row>
    <row r="19" spans="1:15" s="322" customFormat="1" x14ac:dyDescent="0.3">
      <c r="A19" s="332" t="s">
        <v>398</v>
      </c>
      <c r="B19" s="324">
        <v>8600</v>
      </c>
      <c r="C19" s="335">
        <v>34400</v>
      </c>
      <c r="D19" s="334"/>
      <c r="E19" s="335"/>
      <c r="F19" s="324"/>
      <c r="G19" s="324"/>
      <c r="H19" s="324">
        <v>43000</v>
      </c>
      <c r="I19" s="324"/>
      <c r="J19" s="324"/>
      <c r="K19" s="324"/>
      <c r="L19" s="324"/>
      <c r="M19" s="329">
        <v>1</v>
      </c>
      <c r="N19" s="330">
        <v>40000</v>
      </c>
      <c r="O19" s="331">
        <v>5000000</v>
      </c>
    </row>
    <row r="20" spans="1:15" s="342" customFormat="1" x14ac:dyDescent="0.3">
      <c r="A20" s="160" t="s">
        <v>391</v>
      </c>
      <c r="B20" s="263">
        <v>11000</v>
      </c>
      <c r="C20" s="271">
        <v>44000</v>
      </c>
      <c r="D20" s="270"/>
      <c r="E20" s="271">
        <f>SUM(B20:D20)</f>
        <v>55000</v>
      </c>
      <c r="F20" s="263"/>
      <c r="G20" s="263"/>
      <c r="H20" s="263"/>
      <c r="I20" s="263"/>
      <c r="J20" s="263"/>
      <c r="K20" s="263"/>
      <c r="L20" s="263"/>
      <c r="M20" s="213"/>
      <c r="N20" s="165"/>
      <c r="O20" s="236"/>
    </row>
    <row r="21" spans="1:15" s="322" customFormat="1" x14ac:dyDescent="0.3">
      <c r="A21" s="332" t="s">
        <v>392</v>
      </c>
      <c r="B21" s="324">
        <v>15000</v>
      </c>
      <c r="C21" s="335">
        <v>60000</v>
      </c>
      <c r="D21" s="334"/>
      <c r="E21" s="335">
        <f>SUM(B21:D21)</f>
        <v>75000</v>
      </c>
      <c r="F21" s="324"/>
      <c r="G21" s="324"/>
      <c r="H21" s="324"/>
      <c r="I21" s="324"/>
      <c r="J21" s="324"/>
      <c r="K21" s="324"/>
      <c r="L21" s="324"/>
      <c r="M21" s="329"/>
      <c r="N21" s="330">
        <v>0</v>
      </c>
      <c r="O21" s="331">
        <v>695858</v>
      </c>
    </row>
    <row r="22" spans="1:15" s="342" customFormat="1" x14ac:dyDescent="0.3">
      <c r="A22" s="160" t="s">
        <v>395</v>
      </c>
      <c r="B22" s="263">
        <v>34255.199999999997</v>
      </c>
      <c r="C22" s="271">
        <v>8563.7999999999993</v>
      </c>
      <c r="D22" s="270"/>
      <c r="E22" s="271"/>
      <c r="F22" s="263"/>
      <c r="G22" s="263"/>
      <c r="H22" s="263">
        <f>SUM(B22:G22)</f>
        <v>42819</v>
      </c>
      <c r="I22" s="263"/>
      <c r="J22" s="263"/>
      <c r="K22" s="263"/>
      <c r="L22" s="263"/>
      <c r="M22" s="213">
        <v>5</v>
      </c>
      <c r="N22" s="165">
        <v>200000</v>
      </c>
      <c r="O22" s="236">
        <v>227181</v>
      </c>
    </row>
    <row r="23" spans="1:15" s="322" customFormat="1" x14ac:dyDescent="0.3">
      <c r="A23" s="332" t="s">
        <v>399</v>
      </c>
      <c r="B23" s="324">
        <v>8600</v>
      </c>
      <c r="C23" s="341">
        <v>34400</v>
      </c>
      <c r="D23" s="334"/>
      <c r="E23" s="335"/>
      <c r="F23" s="324"/>
      <c r="G23" s="324"/>
      <c r="H23" s="324">
        <v>43000</v>
      </c>
      <c r="I23" s="324"/>
      <c r="J23" s="324"/>
      <c r="K23" s="324"/>
      <c r="L23" s="324"/>
      <c r="M23" s="329">
        <v>1</v>
      </c>
      <c r="N23" s="330">
        <v>30000</v>
      </c>
      <c r="O23" s="331">
        <v>653000</v>
      </c>
    </row>
    <row r="24" spans="1:15" s="342" customFormat="1" x14ac:dyDescent="0.3">
      <c r="A24" s="160" t="s">
        <v>354</v>
      </c>
      <c r="B24" s="263">
        <v>12509.7</v>
      </c>
      <c r="C24" s="277">
        <v>21300.3</v>
      </c>
      <c r="D24" s="270"/>
      <c r="E24" s="271">
        <f>SUM(B24:C24)</f>
        <v>33810</v>
      </c>
      <c r="F24" s="263"/>
      <c r="G24" s="263"/>
      <c r="H24" s="263"/>
      <c r="I24" s="263"/>
      <c r="J24" s="263"/>
      <c r="K24" s="263"/>
      <c r="L24" s="263"/>
      <c r="M24" s="213">
        <v>0</v>
      </c>
      <c r="N24" s="165">
        <v>0</v>
      </c>
      <c r="O24" s="236">
        <v>30000</v>
      </c>
    </row>
    <row r="25" spans="1:15" s="322" customFormat="1" x14ac:dyDescent="0.3">
      <c r="A25" s="332" t="s">
        <v>406</v>
      </c>
      <c r="B25" s="324">
        <v>9700</v>
      </c>
      <c r="C25" s="333">
        <v>87300</v>
      </c>
      <c r="D25" s="334"/>
      <c r="E25" s="324"/>
      <c r="F25" s="324"/>
      <c r="G25" s="324"/>
      <c r="H25" s="324"/>
      <c r="I25" s="324"/>
      <c r="J25" s="324"/>
      <c r="K25" s="324">
        <f>SUM(B25:J25)</f>
        <v>97000</v>
      </c>
      <c r="L25" s="324"/>
      <c r="M25" s="329"/>
      <c r="N25" s="330"/>
      <c r="O25" s="331"/>
    </row>
    <row r="26" spans="1:15" s="342" customFormat="1" ht="15" thickBot="1" x14ac:dyDescent="0.35">
      <c r="A26" s="160" t="s">
        <v>384</v>
      </c>
      <c r="B26" s="263">
        <v>8727.2000000000007</v>
      </c>
      <c r="C26" s="271">
        <v>34908.800000000003</v>
      </c>
      <c r="D26" s="346"/>
      <c r="E26" s="271"/>
      <c r="F26" s="263"/>
      <c r="G26" s="263"/>
      <c r="H26" s="263">
        <f>SUM(B26:G26)</f>
        <v>43636</v>
      </c>
      <c r="I26" s="263"/>
      <c r="J26" s="263"/>
      <c r="K26" s="263"/>
      <c r="L26" s="263"/>
      <c r="M26" s="213"/>
      <c r="N26" s="165"/>
      <c r="O26" s="236">
        <v>1031364</v>
      </c>
    </row>
    <row r="27" spans="1:15" ht="15.6" thickTop="1" thickBot="1" x14ac:dyDescent="0.35">
      <c r="A27" s="245" t="s">
        <v>31</v>
      </c>
      <c r="B27" s="287">
        <f>SUM(B3:B26)</f>
        <v>4818515.6000000006</v>
      </c>
      <c r="C27" s="295">
        <f>SUM(C3:C26)</f>
        <v>4283905.3999999994</v>
      </c>
      <c r="D27" s="312">
        <f>SUM(D3:D26)</f>
        <v>402000</v>
      </c>
      <c r="E27" s="312">
        <f t="shared" ref="E27:M27" si="0">SUM(E3:E26)</f>
        <v>5571310</v>
      </c>
      <c r="F27" s="312">
        <f t="shared" si="0"/>
        <v>0</v>
      </c>
      <c r="G27" s="312">
        <f t="shared" si="0"/>
        <v>0</v>
      </c>
      <c r="H27" s="312">
        <f t="shared" si="0"/>
        <v>367134</v>
      </c>
      <c r="I27" s="312">
        <f t="shared" si="0"/>
        <v>343000</v>
      </c>
      <c r="J27" s="312">
        <f t="shared" si="0"/>
        <v>0</v>
      </c>
      <c r="K27" s="312">
        <f t="shared" si="0"/>
        <v>2418977</v>
      </c>
      <c r="L27" s="312">
        <f t="shared" si="0"/>
        <v>0</v>
      </c>
      <c r="M27" s="313">
        <f t="shared" si="0"/>
        <v>233</v>
      </c>
      <c r="N27" s="240">
        <f>SUM(N3:N26)</f>
        <v>22226475</v>
      </c>
      <c r="O27" s="241">
        <f>SUM(O3:O26)</f>
        <v>3165423724</v>
      </c>
    </row>
    <row r="28" spans="1:15" ht="15" thickBot="1" x14ac:dyDescent="0.35">
      <c r="A28" s="167" t="s">
        <v>162</v>
      </c>
      <c r="B28" s="302">
        <f>SUM(D27:L27)</f>
        <v>9102421</v>
      </c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</row>
    <row r="29" spans="1:15" x14ac:dyDescent="0.3">
      <c r="A29" s="438" t="s">
        <v>408</v>
      </c>
      <c r="B29" s="438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</row>
    <row r="30" spans="1:15" x14ac:dyDescent="0.3">
      <c r="A30" s="297"/>
      <c r="B30" s="146"/>
      <c r="C30" s="146"/>
      <c r="D30" s="146"/>
      <c r="E30" s="146"/>
    </row>
    <row r="31" spans="1:15" x14ac:dyDescent="0.3">
      <c r="F31" s="141"/>
      <c r="G31" s="141"/>
      <c r="H31" s="141"/>
      <c r="I31" s="141"/>
      <c r="J31" s="141"/>
      <c r="K31" s="141"/>
      <c r="L31" s="141"/>
      <c r="M31" s="141"/>
    </row>
    <row r="32" spans="1:15" x14ac:dyDescent="0.3">
      <c r="F32" s="141"/>
      <c r="G32" s="141"/>
      <c r="H32" s="141"/>
      <c r="I32" s="141"/>
      <c r="J32" s="141"/>
      <c r="K32" s="141"/>
      <c r="L32" s="141"/>
      <c r="M32" s="141"/>
    </row>
    <row r="33" spans="1:13" x14ac:dyDescent="0.3">
      <c r="F33" s="141"/>
      <c r="G33" s="141"/>
      <c r="H33" s="141"/>
      <c r="I33" s="141"/>
      <c r="J33" s="141"/>
      <c r="K33" s="141"/>
      <c r="L33" s="141"/>
      <c r="M33" s="141"/>
    </row>
    <row r="34" spans="1:13" ht="15" thickBot="1" x14ac:dyDescent="0.35">
      <c r="F34" s="141"/>
      <c r="G34" s="141"/>
      <c r="H34" s="141"/>
      <c r="I34" s="141"/>
      <c r="J34" s="141"/>
      <c r="K34" s="141"/>
      <c r="L34" s="141"/>
      <c r="M34" s="141"/>
    </row>
    <row r="35" spans="1:13" ht="15" thickBot="1" x14ac:dyDescent="0.35">
      <c r="A35" s="444" t="s">
        <v>405</v>
      </c>
      <c r="B35" s="445"/>
      <c r="C35" s="444" t="s">
        <v>380</v>
      </c>
      <c r="D35" s="445"/>
      <c r="F35" s="141"/>
      <c r="G35" s="141"/>
      <c r="H35" s="141"/>
      <c r="I35" s="141"/>
      <c r="J35" s="141"/>
      <c r="K35" s="141"/>
      <c r="L35" s="141"/>
      <c r="M35" s="141"/>
    </row>
    <row r="36" spans="1:13" x14ac:dyDescent="0.3">
      <c r="A36" s="252" t="s">
        <v>404</v>
      </c>
      <c r="B36" s="284" t="s">
        <v>379</v>
      </c>
      <c r="C36" s="298" t="s">
        <v>4</v>
      </c>
      <c r="D36" s="299" t="s">
        <v>365</v>
      </c>
    </row>
    <row r="37" spans="1:13" x14ac:dyDescent="0.3">
      <c r="A37" s="303" t="s">
        <v>396</v>
      </c>
      <c r="B37" s="237">
        <v>68171</v>
      </c>
      <c r="C37" s="271">
        <v>66126</v>
      </c>
      <c r="D37" s="277">
        <v>2045</v>
      </c>
    </row>
    <row r="38" spans="1:13" x14ac:dyDescent="0.3">
      <c r="A38" s="304" t="s">
        <v>401</v>
      </c>
      <c r="B38" s="305">
        <v>123710</v>
      </c>
      <c r="C38" s="273">
        <v>119999</v>
      </c>
      <c r="D38" s="293">
        <v>3711</v>
      </c>
    </row>
    <row r="39" spans="1:13" x14ac:dyDescent="0.3">
      <c r="A39" s="216" t="s">
        <v>372</v>
      </c>
      <c r="B39" s="296">
        <f>SUM(B37:B38)</f>
        <v>191881</v>
      </c>
      <c r="C39" s="300">
        <f>SUM(C37:C38)</f>
        <v>186125</v>
      </c>
      <c r="D39" s="250">
        <f>SUM(D37:D38)</f>
        <v>5756</v>
      </c>
    </row>
  </sheetData>
  <mergeCells count="7">
    <mergeCell ref="A1:C1"/>
    <mergeCell ref="D1:M1"/>
    <mergeCell ref="N1:O1"/>
    <mergeCell ref="A35:B35"/>
    <mergeCell ref="C35:D35"/>
    <mergeCell ref="A29:B29"/>
    <mergeCell ref="C28:O29"/>
  </mergeCells>
  <pageMargins left="0.7" right="0.7" top="0.75" bottom="0.75" header="0.3" footer="0.3"/>
  <pageSetup scale="49" fitToHeight="0" orientation="landscape" r:id="rId1"/>
  <ignoredErrors>
    <ignoredError sqref="C27 H17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workbookViewId="0">
      <selection activeCell="N6" sqref="N6"/>
    </sheetView>
  </sheetViews>
  <sheetFormatPr defaultRowHeight="14.4" x14ac:dyDescent="0.3"/>
  <cols>
    <col min="1" max="1" width="58.33203125" bestFit="1" customWidth="1"/>
    <col min="2" max="2" width="14" bestFit="1" customWidth="1"/>
    <col min="3" max="3" width="11.109375" bestFit="1" customWidth="1"/>
    <col min="4" max="4" width="9.109375" hidden="1" customWidth="1"/>
    <col min="5" max="7" width="11.109375" bestFit="1" customWidth="1"/>
    <col min="9" max="9" width="15.33203125" customWidth="1"/>
    <col min="12" max="12" width="10.109375" bestFit="1" customWidth="1"/>
    <col min="13" max="13" width="13.33203125" bestFit="1" customWidth="1"/>
    <col min="15" max="15" width="11.109375" bestFit="1" customWidth="1"/>
    <col min="16" max="16" width="13.88671875" bestFit="1" customWidth="1"/>
  </cols>
  <sheetData>
    <row r="1" spans="1:18" ht="15" thickBot="1" x14ac:dyDescent="0.35">
      <c r="A1" s="439" t="s">
        <v>0</v>
      </c>
      <c r="B1" s="440"/>
      <c r="C1" s="441"/>
      <c r="D1" s="176"/>
      <c r="E1" s="439" t="s">
        <v>1</v>
      </c>
      <c r="F1" s="440"/>
      <c r="G1" s="440"/>
      <c r="H1" s="440"/>
      <c r="I1" s="440"/>
      <c r="J1" s="440"/>
      <c r="K1" s="440"/>
      <c r="L1" s="440"/>
      <c r="M1" s="440"/>
      <c r="N1" s="440"/>
      <c r="O1" s="442" t="s">
        <v>376</v>
      </c>
      <c r="P1" s="443"/>
    </row>
    <row r="2" spans="1:18" ht="48" customHeight="1" thickBot="1" x14ac:dyDescent="0.35">
      <c r="A2" s="242" t="s">
        <v>350</v>
      </c>
      <c r="B2" s="178" t="s">
        <v>3</v>
      </c>
      <c r="C2" s="301" t="s">
        <v>4</v>
      </c>
      <c r="D2" s="180"/>
      <c r="E2" s="242" t="s">
        <v>5</v>
      </c>
      <c r="F2" s="178" t="s">
        <v>6</v>
      </c>
      <c r="G2" s="182" t="s">
        <v>341</v>
      </c>
      <c r="H2" s="178" t="s">
        <v>7</v>
      </c>
      <c r="I2" s="182" t="s">
        <v>355</v>
      </c>
      <c r="J2" s="178" t="s">
        <v>8</v>
      </c>
      <c r="K2" s="178" t="s">
        <v>9</v>
      </c>
      <c r="L2" s="182" t="s">
        <v>343</v>
      </c>
      <c r="M2" s="178" t="s">
        <v>11</v>
      </c>
      <c r="N2" s="183" t="s">
        <v>12</v>
      </c>
      <c r="O2" s="242" t="s">
        <v>351</v>
      </c>
      <c r="P2" s="235" t="s">
        <v>353</v>
      </c>
      <c r="R2" s="63"/>
    </row>
    <row r="3" spans="1:18" ht="15" thickBot="1" x14ac:dyDescent="0.35">
      <c r="A3" s="243" t="s">
        <v>352</v>
      </c>
      <c r="B3" s="261">
        <v>82000</v>
      </c>
      <c r="C3" s="291">
        <v>320000</v>
      </c>
      <c r="D3" s="219"/>
      <c r="E3" s="266">
        <f>SUM(B3:C3)</f>
        <v>402000</v>
      </c>
      <c r="F3" s="267"/>
      <c r="G3" s="261"/>
      <c r="H3" s="261"/>
      <c r="I3" s="261"/>
      <c r="J3" s="261"/>
      <c r="K3" s="261"/>
      <c r="L3" s="261"/>
      <c r="M3" s="261"/>
      <c r="N3" s="220">
        <v>4.5</v>
      </c>
      <c r="O3" s="247">
        <v>195634.41</v>
      </c>
      <c r="P3" s="248">
        <v>646496.5</v>
      </c>
    </row>
    <row r="4" spans="1:18" s="141" customFormat="1" x14ac:dyDescent="0.3">
      <c r="A4" s="217" t="s">
        <v>356</v>
      </c>
      <c r="B4" s="262">
        <v>3000</v>
      </c>
      <c r="C4" s="292">
        <v>12000</v>
      </c>
      <c r="D4" s="212"/>
      <c r="E4" s="268"/>
      <c r="F4" s="269">
        <v>15000</v>
      </c>
      <c r="G4" s="262"/>
      <c r="H4" s="262"/>
      <c r="I4" s="262"/>
      <c r="J4" s="262"/>
      <c r="K4" s="262"/>
      <c r="L4" s="262"/>
      <c r="M4" s="262"/>
      <c r="N4" s="221">
        <v>0</v>
      </c>
      <c r="O4" s="231">
        <v>0</v>
      </c>
      <c r="P4" s="237">
        <v>0</v>
      </c>
    </row>
    <row r="5" spans="1:18" x14ac:dyDescent="0.3">
      <c r="A5" s="160" t="s">
        <v>360</v>
      </c>
      <c r="B5" s="263">
        <v>40000</v>
      </c>
      <c r="C5" s="277">
        <v>160000</v>
      </c>
      <c r="D5" s="163"/>
      <c r="E5" s="270"/>
      <c r="F5" s="271"/>
      <c r="G5" s="263"/>
      <c r="H5" s="263"/>
      <c r="I5" s="263">
        <v>200000</v>
      </c>
      <c r="J5" s="263"/>
      <c r="K5" s="263"/>
      <c r="L5" s="263"/>
      <c r="M5" s="263"/>
      <c r="N5" s="222">
        <v>5</v>
      </c>
      <c r="O5" s="230">
        <v>160776</v>
      </c>
      <c r="P5" s="236">
        <v>472264</v>
      </c>
    </row>
    <row r="6" spans="1:18" x14ac:dyDescent="0.3">
      <c r="A6" s="143" t="s">
        <v>357</v>
      </c>
      <c r="B6" s="264">
        <v>0</v>
      </c>
      <c r="C6" s="293">
        <v>100000</v>
      </c>
      <c r="D6" s="150"/>
      <c r="E6" s="272"/>
      <c r="F6" s="273"/>
      <c r="G6" s="264"/>
      <c r="H6" s="264"/>
      <c r="I6" s="264">
        <v>100000</v>
      </c>
      <c r="J6" s="264"/>
      <c r="K6" s="264"/>
      <c r="L6" s="264"/>
      <c r="M6" s="264"/>
      <c r="N6" s="214">
        <v>38</v>
      </c>
      <c r="O6" s="232">
        <v>385800</v>
      </c>
      <c r="P6" s="237">
        <v>1500000</v>
      </c>
    </row>
    <row r="7" spans="1:18" x14ac:dyDescent="0.3">
      <c r="A7" s="160" t="s">
        <v>377</v>
      </c>
      <c r="B7" s="263">
        <v>15000</v>
      </c>
      <c r="C7" s="277">
        <v>60000</v>
      </c>
      <c r="D7" s="163"/>
      <c r="E7" s="270"/>
      <c r="F7" s="271">
        <v>75000</v>
      </c>
      <c r="G7" s="263"/>
      <c r="H7" s="263"/>
      <c r="I7" s="263"/>
      <c r="J7" s="263"/>
      <c r="K7" s="263"/>
      <c r="L7" s="263"/>
      <c r="M7" s="263"/>
      <c r="N7" s="213">
        <v>0</v>
      </c>
      <c r="O7" s="165">
        <v>0</v>
      </c>
      <c r="P7" s="236">
        <v>0</v>
      </c>
    </row>
    <row r="8" spans="1:18" x14ac:dyDescent="0.3">
      <c r="A8" s="143" t="s">
        <v>378</v>
      </c>
      <c r="B8" s="264">
        <v>13000</v>
      </c>
      <c r="C8" s="293">
        <v>52000</v>
      </c>
      <c r="D8" s="150"/>
      <c r="E8" s="272"/>
      <c r="F8" s="273">
        <v>65000</v>
      </c>
      <c r="G8" s="264"/>
      <c r="H8" s="264"/>
      <c r="I8" s="264"/>
      <c r="J8" s="264"/>
      <c r="K8" s="264"/>
      <c r="L8" s="264"/>
      <c r="M8" s="264"/>
      <c r="N8" s="214">
        <v>1</v>
      </c>
      <c r="O8" s="232">
        <v>40000</v>
      </c>
      <c r="P8" s="238">
        <v>13847135.52</v>
      </c>
    </row>
    <row r="9" spans="1:18" x14ac:dyDescent="0.3">
      <c r="A9" s="160" t="s">
        <v>364</v>
      </c>
      <c r="B9" s="263">
        <v>700</v>
      </c>
      <c r="C9" s="277">
        <v>2800</v>
      </c>
      <c r="D9" s="163"/>
      <c r="E9" s="270"/>
      <c r="F9" s="271">
        <v>3500</v>
      </c>
      <c r="G9" s="263"/>
      <c r="H9" s="263"/>
      <c r="I9" s="263"/>
      <c r="J9" s="263"/>
      <c r="K9" s="263"/>
      <c r="L9" s="263"/>
      <c r="M9" s="263"/>
      <c r="N9" s="213">
        <v>0</v>
      </c>
      <c r="O9" s="165">
        <v>0</v>
      </c>
      <c r="P9" s="236">
        <v>0</v>
      </c>
    </row>
    <row r="10" spans="1:18" x14ac:dyDescent="0.3">
      <c r="A10" s="143" t="s">
        <v>56</v>
      </c>
      <c r="B10" s="264">
        <v>5000</v>
      </c>
      <c r="C10" s="293">
        <v>20000</v>
      </c>
      <c r="D10" s="150"/>
      <c r="E10" s="272"/>
      <c r="F10" s="273">
        <v>25000</v>
      </c>
      <c r="G10" s="264"/>
      <c r="H10" s="264"/>
      <c r="I10" s="264"/>
      <c r="J10" s="264"/>
      <c r="K10" s="264"/>
      <c r="L10" s="264"/>
      <c r="M10" s="264"/>
      <c r="N10" s="214">
        <v>0</v>
      </c>
      <c r="O10" s="232">
        <v>0</v>
      </c>
      <c r="P10" s="237">
        <v>5350000</v>
      </c>
    </row>
    <row r="11" spans="1:18" x14ac:dyDescent="0.3">
      <c r="A11" s="160" t="s">
        <v>358</v>
      </c>
      <c r="B11" s="263">
        <v>1910.4</v>
      </c>
      <c r="C11" s="277">
        <v>7641.58</v>
      </c>
      <c r="D11" s="163"/>
      <c r="E11" s="270"/>
      <c r="F11" s="271"/>
      <c r="G11" s="263"/>
      <c r="H11" s="263"/>
      <c r="I11" s="263"/>
      <c r="J11" s="263"/>
      <c r="K11" s="263"/>
      <c r="L11" s="263">
        <v>9551.98</v>
      </c>
      <c r="M11" s="263"/>
      <c r="N11" s="213">
        <v>0</v>
      </c>
      <c r="O11" s="165">
        <v>0</v>
      </c>
      <c r="P11" s="236">
        <v>0</v>
      </c>
    </row>
    <row r="12" spans="1:18" s="141" customFormat="1" x14ac:dyDescent="0.3">
      <c r="A12" s="143" t="s">
        <v>359</v>
      </c>
      <c r="B12" s="264">
        <v>3699</v>
      </c>
      <c r="C12" s="293">
        <v>0</v>
      </c>
      <c r="D12" s="150"/>
      <c r="E12" s="272"/>
      <c r="F12" s="274"/>
      <c r="G12" s="264"/>
      <c r="H12" s="264"/>
      <c r="I12" s="264">
        <v>3699</v>
      </c>
      <c r="J12" s="264"/>
      <c r="K12" s="264"/>
      <c r="L12" s="264"/>
      <c r="M12" s="264"/>
      <c r="N12" s="214">
        <v>1</v>
      </c>
      <c r="O12" s="232">
        <v>25056</v>
      </c>
      <c r="P12" s="237">
        <v>70000</v>
      </c>
    </row>
    <row r="13" spans="1:18" x14ac:dyDescent="0.3">
      <c r="A13" s="160" t="s">
        <v>354</v>
      </c>
      <c r="B13" s="263">
        <v>12510</v>
      </c>
      <c r="C13" s="277">
        <v>21300</v>
      </c>
      <c r="D13" s="163"/>
      <c r="E13" s="270"/>
      <c r="F13" s="271">
        <v>33810</v>
      </c>
      <c r="G13" s="263"/>
      <c r="H13" s="263"/>
      <c r="I13" s="263"/>
      <c r="J13" s="263"/>
      <c r="K13" s="263"/>
      <c r="L13" s="263"/>
      <c r="M13" s="263"/>
      <c r="N13" s="213">
        <v>1</v>
      </c>
      <c r="O13" s="165">
        <v>52000</v>
      </c>
      <c r="P13" s="236">
        <v>3055574</v>
      </c>
    </row>
    <row r="14" spans="1:18" s="141" customFormat="1" x14ac:dyDescent="0.3">
      <c r="A14" s="143" t="s">
        <v>361</v>
      </c>
      <c r="B14" s="264">
        <v>5000</v>
      </c>
      <c r="C14" s="293">
        <v>20000</v>
      </c>
      <c r="D14" s="150"/>
      <c r="E14" s="272"/>
      <c r="F14" s="264">
        <v>25000</v>
      </c>
      <c r="G14" s="264"/>
      <c r="H14" s="264"/>
      <c r="I14" s="264"/>
      <c r="J14" s="264"/>
      <c r="K14" s="264"/>
      <c r="L14" s="264"/>
      <c r="M14" s="264"/>
      <c r="N14" s="214">
        <v>0</v>
      </c>
      <c r="O14" s="147">
        <v>0</v>
      </c>
      <c r="P14" s="238">
        <v>0</v>
      </c>
    </row>
    <row r="15" spans="1:18" s="141" customFormat="1" x14ac:dyDescent="0.3">
      <c r="A15" s="160" t="s">
        <v>362</v>
      </c>
      <c r="B15" s="263">
        <v>2767.8</v>
      </c>
      <c r="C15" s="277">
        <v>11071.2</v>
      </c>
      <c r="D15" s="163"/>
      <c r="E15" s="270"/>
      <c r="F15" s="263">
        <v>13839</v>
      </c>
      <c r="G15" s="263"/>
      <c r="H15" s="263"/>
      <c r="I15" s="263"/>
      <c r="J15" s="263"/>
      <c r="K15" s="263"/>
      <c r="L15" s="263"/>
      <c r="M15" s="263"/>
      <c r="N15" s="213">
        <v>0</v>
      </c>
      <c r="O15" s="165">
        <v>0</v>
      </c>
      <c r="P15" s="236">
        <v>0</v>
      </c>
    </row>
    <row r="16" spans="1:18" s="141" customFormat="1" ht="15" thickBot="1" x14ac:dyDescent="0.35">
      <c r="A16" s="244" t="s">
        <v>363</v>
      </c>
      <c r="B16" s="265">
        <v>3425.05</v>
      </c>
      <c r="C16" s="294">
        <v>13700.2</v>
      </c>
      <c r="D16" s="289"/>
      <c r="E16" s="275"/>
      <c r="F16" s="265"/>
      <c r="G16" s="265"/>
      <c r="H16" s="265"/>
      <c r="I16" s="265">
        <v>17125.25</v>
      </c>
      <c r="J16" s="265"/>
      <c r="K16" s="265"/>
      <c r="L16" s="265"/>
      <c r="M16" s="265"/>
      <c r="N16" s="234">
        <v>1</v>
      </c>
      <c r="O16" s="233">
        <v>31320</v>
      </c>
      <c r="P16" s="239">
        <v>180000</v>
      </c>
    </row>
    <row r="17" spans="1:16" ht="15.6" thickTop="1" thickBot="1" x14ac:dyDescent="0.35">
      <c r="A17" s="245" t="s">
        <v>31</v>
      </c>
      <c r="B17" s="287">
        <f>SUM(B3:B16)</f>
        <v>188012.24999999997</v>
      </c>
      <c r="C17" s="288">
        <f>SUM(C3:C16)</f>
        <v>800512.97999999986</v>
      </c>
      <c r="D17" s="223"/>
      <c r="E17" s="246">
        <f t="shared" ref="E17:P17" si="0">SUM(E3:E16)</f>
        <v>402000</v>
      </c>
      <c r="F17" s="224">
        <f t="shared" si="0"/>
        <v>256149</v>
      </c>
      <c r="G17" s="225">
        <f t="shared" si="0"/>
        <v>0</v>
      </c>
      <c r="H17" s="225">
        <f t="shared" si="0"/>
        <v>0</v>
      </c>
      <c r="I17" s="225">
        <f t="shared" si="0"/>
        <v>320824.25</v>
      </c>
      <c r="J17" s="225">
        <f t="shared" si="0"/>
        <v>0</v>
      </c>
      <c r="K17" s="225">
        <f t="shared" si="0"/>
        <v>0</v>
      </c>
      <c r="L17" s="225">
        <f t="shared" si="0"/>
        <v>9551.98</v>
      </c>
      <c r="M17" s="225">
        <f t="shared" si="0"/>
        <v>0</v>
      </c>
      <c r="N17" s="226">
        <f t="shared" si="0"/>
        <v>51.5</v>
      </c>
      <c r="O17" s="240">
        <f t="shared" si="0"/>
        <v>890586.41</v>
      </c>
      <c r="P17" s="241">
        <f t="shared" si="0"/>
        <v>25121470.02</v>
      </c>
    </row>
    <row r="18" spans="1:16" ht="15" thickBot="1" x14ac:dyDescent="0.35">
      <c r="A18" s="167" t="s">
        <v>162</v>
      </c>
      <c r="B18" s="229">
        <f>SUM(E17:M17)</f>
        <v>988525.23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41"/>
    </row>
    <row r="19" spans="1:16" x14ac:dyDescent="0.3">
      <c r="A19" s="228" t="s">
        <v>383</v>
      </c>
      <c r="B19" s="199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41"/>
    </row>
    <row r="20" spans="1:16" ht="15" thickBot="1" x14ac:dyDescent="0.35">
      <c r="A20" s="254"/>
      <c r="B20" s="255"/>
      <c r="C20" s="255"/>
      <c r="D20" s="255"/>
      <c r="E20" s="255"/>
      <c r="F20" s="127"/>
      <c r="G20" s="127"/>
      <c r="H20" s="127"/>
      <c r="I20" s="127"/>
      <c r="J20" s="127"/>
      <c r="K20" s="127"/>
      <c r="L20" s="127"/>
      <c r="M20" s="127"/>
      <c r="N20" s="141"/>
    </row>
    <row r="21" spans="1:16" ht="15" thickBot="1" x14ac:dyDescent="0.35">
      <c r="A21" s="444" t="s">
        <v>366</v>
      </c>
      <c r="B21" s="445"/>
      <c r="C21" s="446" t="s">
        <v>380</v>
      </c>
      <c r="D21" s="446"/>
      <c r="E21" s="446"/>
      <c r="F21" s="152"/>
      <c r="G21" s="141"/>
      <c r="H21" s="141"/>
      <c r="I21" s="141"/>
      <c r="J21" s="141"/>
      <c r="K21" s="141"/>
      <c r="L21" s="141"/>
      <c r="M21" s="141"/>
      <c r="N21" s="141"/>
    </row>
    <row r="22" spans="1:16" x14ac:dyDescent="0.3">
      <c r="A22" s="252" t="s">
        <v>367</v>
      </c>
      <c r="B22" s="253" t="s">
        <v>379</v>
      </c>
      <c r="C22" s="251" t="s">
        <v>4</v>
      </c>
      <c r="D22" s="252" t="s">
        <v>365</v>
      </c>
      <c r="E22" s="284" t="s">
        <v>365</v>
      </c>
      <c r="F22" s="152"/>
      <c r="G22" s="141"/>
      <c r="H22" s="141"/>
      <c r="I22" s="141"/>
      <c r="J22" s="141"/>
      <c r="K22" s="141" t="s">
        <v>371</v>
      </c>
      <c r="L22" s="141"/>
      <c r="M22" s="141"/>
      <c r="N22" s="141"/>
    </row>
    <row r="23" spans="1:16" x14ac:dyDescent="0.3">
      <c r="A23" s="276" t="s">
        <v>368</v>
      </c>
      <c r="B23" s="277">
        <v>69260</v>
      </c>
      <c r="C23" s="271">
        <v>55408</v>
      </c>
      <c r="D23" s="263"/>
      <c r="E23" s="285">
        <v>13852</v>
      </c>
      <c r="F23" s="152"/>
      <c r="G23" s="141"/>
      <c r="H23" s="141"/>
      <c r="I23" s="141"/>
      <c r="J23" s="141"/>
      <c r="K23" s="141"/>
      <c r="L23" s="141"/>
      <c r="M23" s="141"/>
      <c r="N23" s="141"/>
    </row>
    <row r="24" spans="1:16" x14ac:dyDescent="0.3">
      <c r="A24" s="215" t="s">
        <v>369</v>
      </c>
      <c r="B24" s="278">
        <v>210600</v>
      </c>
      <c r="C24" s="280">
        <v>168480</v>
      </c>
      <c r="D24" s="281"/>
      <c r="E24" s="286">
        <v>42120</v>
      </c>
      <c r="F24" s="152"/>
      <c r="G24" s="141"/>
      <c r="H24" s="141"/>
      <c r="I24" s="141"/>
      <c r="J24" s="141"/>
      <c r="K24" s="141"/>
      <c r="L24" s="70"/>
      <c r="M24" s="141"/>
      <c r="N24" s="141"/>
    </row>
    <row r="25" spans="1:16" x14ac:dyDescent="0.3">
      <c r="A25" s="276" t="s">
        <v>370</v>
      </c>
      <c r="B25" s="277">
        <v>81375</v>
      </c>
      <c r="C25" s="271">
        <v>65100</v>
      </c>
      <c r="D25" s="263"/>
      <c r="E25" s="277">
        <v>16275</v>
      </c>
      <c r="F25" s="141"/>
      <c r="G25" s="141"/>
      <c r="H25" s="141"/>
      <c r="I25" s="141"/>
      <c r="J25" s="141"/>
      <c r="K25" s="141"/>
      <c r="L25" s="141"/>
      <c r="M25" s="141"/>
      <c r="N25" s="141"/>
    </row>
    <row r="26" spans="1:16" x14ac:dyDescent="0.3">
      <c r="A26" s="215" t="s">
        <v>381</v>
      </c>
      <c r="B26" s="278">
        <v>145000</v>
      </c>
      <c r="C26" s="280">
        <v>116000</v>
      </c>
      <c r="D26" s="281"/>
      <c r="E26" s="278">
        <v>29000</v>
      </c>
    </row>
    <row r="27" spans="1:16" ht="15" thickBot="1" x14ac:dyDescent="0.35">
      <c r="A27" s="276" t="s">
        <v>373</v>
      </c>
      <c r="B27" s="279">
        <v>150000</v>
      </c>
      <c r="C27" s="282">
        <v>120000</v>
      </c>
      <c r="D27" s="283"/>
      <c r="E27" s="279">
        <v>30000</v>
      </c>
    </row>
    <row r="28" spans="1:16" ht="15" thickTop="1" x14ac:dyDescent="0.3">
      <c r="A28" s="216" t="s">
        <v>372</v>
      </c>
      <c r="B28" s="250">
        <f>SUM(B23:B27)</f>
        <v>656235</v>
      </c>
      <c r="C28" s="249">
        <f>SUM(C23:C27)</f>
        <v>524988</v>
      </c>
      <c r="D28" s="227"/>
      <c r="E28" s="250">
        <f>SUM(E23:E27)</f>
        <v>131247</v>
      </c>
    </row>
  </sheetData>
  <sortState xmlns:xlrd2="http://schemas.microsoft.com/office/spreadsheetml/2017/richdata2" ref="A4:P16">
    <sortCondition ref="A4"/>
  </sortState>
  <mergeCells count="5">
    <mergeCell ref="A1:C1"/>
    <mergeCell ref="E1:N1"/>
    <mergeCell ref="O1:P1"/>
    <mergeCell ref="A21:B21"/>
    <mergeCell ref="C21:E21"/>
  </mergeCells>
  <pageMargins left="0.7" right="0.7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5</vt:i4>
      </vt:variant>
    </vt:vector>
  </HeadingPairs>
  <TitlesOfParts>
    <vt:vector size="39" baseType="lpstr">
      <vt:lpstr>Cumulative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'2014'!Print_Area</vt:lpstr>
      <vt:lpstr>'2015'!Print_Area</vt:lpstr>
      <vt:lpstr>'2016'!Print_Area</vt:lpstr>
      <vt:lpstr>'2017'!Print_Area</vt:lpstr>
      <vt:lpstr>'2020'!Print_Area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</dc:creator>
  <cp:lastModifiedBy>Tracey J. Pringle</cp:lastModifiedBy>
  <cp:lastPrinted>2021-07-15T15:04:12Z</cp:lastPrinted>
  <dcterms:created xsi:type="dcterms:W3CDTF">2011-04-18T13:21:51Z</dcterms:created>
  <dcterms:modified xsi:type="dcterms:W3CDTF">2021-07-15T15:04:17Z</dcterms:modified>
</cp:coreProperties>
</file>